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oud\Desktop\HARVEST\城市停车楼\"/>
    </mc:Choice>
  </mc:AlternateContent>
  <xr:revisionPtr revIDLastSave="0" documentId="13_ncr:1_{F2E6087C-D528-4FC3-A219-31389ABB55AA}" xr6:coauthVersionLast="47" xr6:coauthVersionMax="47" xr10:uidLastSave="{00000000-0000-0000-0000-000000000000}"/>
  <bookViews>
    <workbookView xWindow="-108" yWindow="-108" windowWidth="23256" windowHeight="12576" activeTab="1" xr2:uid="{8725A157-A4FA-4D72-903F-9998896D8D59}"/>
  </bookViews>
  <sheets>
    <sheet name="Sheet1" sheetId="1" r:id="rId1"/>
    <sheet name="Sheet3" sheetId="3" r:id="rId2"/>
    <sheet name="Sheet2" sheetId="4" r:id="rId3"/>
    <sheet name="Sheet4" sheetId="5" r:id="rId4"/>
  </sheets>
  <calcPr calcId="191029" iterate="1" iterateCount="100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3" l="1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Y72" i="3"/>
  <c r="Z72" i="3"/>
  <c r="AA72" i="3"/>
  <c r="AB72" i="3"/>
  <c r="AC72" i="3"/>
  <c r="AD72" i="3"/>
  <c r="AE72" i="3"/>
  <c r="AF72" i="3"/>
  <c r="AG72" i="3"/>
  <c r="E72" i="3"/>
  <c r="D72" i="3"/>
  <c r="C27" i="3"/>
  <c r="E75" i="3"/>
  <c r="F75" i="3" s="1"/>
  <c r="G75" i="3" s="1"/>
  <c r="H75" i="3" s="1"/>
  <c r="I75" i="3" s="1"/>
  <c r="J75" i="3" s="1"/>
  <c r="K75" i="3" s="1"/>
  <c r="L75" i="3" s="1"/>
  <c r="M75" i="3" s="1"/>
  <c r="N75" i="3" s="1"/>
  <c r="O75" i="3" s="1"/>
  <c r="P75" i="3" s="1"/>
  <c r="Q75" i="3" s="1"/>
  <c r="R75" i="3" s="1"/>
  <c r="S75" i="3" s="1"/>
  <c r="T75" i="3" s="1"/>
  <c r="U75" i="3" s="1"/>
  <c r="V75" i="3" s="1"/>
  <c r="W75" i="3" s="1"/>
  <c r="X75" i="3" s="1"/>
  <c r="Y75" i="3" s="1"/>
  <c r="Z75" i="3" s="1"/>
  <c r="AA75" i="3" s="1"/>
  <c r="AB75" i="3" s="1"/>
  <c r="AC75" i="3" s="1"/>
  <c r="AD75" i="3" s="1"/>
  <c r="AE75" i="3" s="1"/>
  <c r="AF75" i="3" s="1"/>
  <c r="AG75" i="3" s="1"/>
  <c r="D74" i="3"/>
  <c r="E74" i="3" s="1"/>
  <c r="F74" i="3" s="1"/>
  <c r="G74" i="3" s="1"/>
  <c r="H74" i="3" s="1"/>
  <c r="I74" i="3" s="1"/>
  <c r="J74" i="3" s="1"/>
  <c r="K74" i="3" s="1"/>
  <c r="L74" i="3" s="1"/>
  <c r="M74" i="3" s="1"/>
  <c r="N74" i="3" s="1"/>
  <c r="O74" i="3" s="1"/>
  <c r="P74" i="3" s="1"/>
  <c r="Q74" i="3" s="1"/>
  <c r="R74" i="3" s="1"/>
  <c r="S74" i="3" s="1"/>
  <c r="T74" i="3" s="1"/>
  <c r="U74" i="3" s="1"/>
  <c r="V74" i="3" s="1"/>
  <c r="W74" i="3" s="1"/>
  <c r="X74" i="3" s="1"/>
  <c r="Y74" i="3" s="1"/>
  <c r="Z74" i="3" s="1"/>
  <c r="AA74" i="3" s="1"/>
  <c r="AB74" i="3" s="1"/>
  <c r="AC74" i="3" s="1"/>
  <c r="AD74" i="3" s="1"/>
  <c r="AE74" i="3" s="1"/>
  <c r="AF74" i="3" s="1"/>
  <c r="AG74" i="3" s="1"/>
  <c r="D52" i="3"/>
  <c r="E52" i="3" s="1"/>
  <c r="F52" i="3" s="1"/>
  <c r="G52" i="3" s="1"/>
  <c r="H52" i="3" s="1"/>
  <c r="I52" i="3" s="1"/>
  <c r="J52" i="3" s="1"/>
  <c r="K52" i="3" s="1"/>
  <c r="L52" i="3" s="1"/>
  <c r="M52" i="3" s="1"/>
  <c r="N52" i="3" s="1"/>
  <c r="O52" i="3" s="1"/>
  <c r="P52" i="3" s="1"/>
  <c r="Q52" i="3" s="1"/>
  <c r="R52" i="3" s="1"/>
  <c r="S52" i="3" s="1"/>
  <c r="T52" i="3" s="1"/>
  <c r="U52" i="3" s="1"/>
  <c r="V52" i="3" s="1"/>
  <c r="W52" i="3" s="1"/>
  <c r="X52" i="3" s="1"/>
  <c r="Y52" i="3" s="1"/>
  <c r="Z52" i="3" s="1"/>
  <c r="AA52" i="3" s="1"/>
  <c r="AB52" i="3" s="1"/>
  <c r="AC52" i="3" s="1"/>
  <c r="AD52" i="3" s="1"/>
  <c r="AE52" i="3" s="1"/>
  <c r="AF52" i="3" s="1"/>
  <c r="AG52" i="3" s="1"/>
  <c r="D40" i="3"/>
  <c r="D54" i="3" s="1"/>
  <c r="F43" i="3"/>
  <c r="G43" i="3" s="1"/>
  <c r="H43" i="3" s="1"/>
  <c r="I43" i="3" s="1"/>
  <c r="J43" i="3" s="1"/>
  <c r="K43" i="3" s="1"/>
  <c r="L43" i="3" s="1"/>
  <c r="M43" i="3" s="1"/>
  <c r="N43" i="3" s="1"/>
  <c r="O43" i="3" s="1"/>
  <c r="P43" i="3" s="1"/>
  <c r="Q43" i="3" s="1"/>
  <c r="R43" i="3" s="1"/>
  <c r="S43" i="3" s="1"/>
  <c r="T43" i="3" s="1"/>
  <c r="U43" i="3" s="1"/>
  <c r="V43" i="3" s="1"/>
  <c r="W43" i="3" s="1"/>
  <c r="X43" i="3" s="1"/>
  <c r="Y43" i="3" s="1"/>
  <c r="Z43" i="3" s="1"/>
  <c r="AA43" i="3" s="1"/>
  <c r="AB43" i="3" s="1"/>
  <c r="AC43" i="3" s="1"/>
  <c r="AD43" i="3" s="1"/>
  <c r="AE43" i="3" s="1"/>
  <c r="AF43" i="3" s="1"/>
  <c r="AG43" i="3" s="1"/>
  <c r="D34" i="3"/>
  <c r="E37" i="3" l="1"/>
  <c r="F37" i="3" s="1"/>
  <c r="G37" i="3" s="1"/>
  <c r="H37" i="3" s="1"/>
  <c r="I37" i="3" s="1"/>
  <c r="J37" i="3" s="1"/>
  <c r="K37" i="3" s="1"/>
  <c r="L37" i="3" s="1"/>
  <c r="M37" i="3" s="1"/>
  <c r="N37" i="3" s="1"/>
  <c r="O37" i="3" s="1"/>
  <c r="P37" i="3" s="1"/>
  <c r="Q37" i="3" s="1"/>
  <c r="R37" i="3" s="1"/>
  <c r="S37" i="3" s="1"/>
  <c r="T37" i="3" s="1"/>
  <c r="U37" i="3" s="1"/>
  <c r="V37" i="3" s="1"/>
  <c r="W37" i="3" s="1"/>
  <c r="X37" i="3" s="1"/>
  <c r="Y37" i="3" s="1"/>
  <c r="Z37" i="3" s="1"/>
  <c r="AA37" i="3" s="1"/>
  <c r="AB37" i="3" s="1"/>
  <c r="AC37" i="3" s="1"/>
  <c r="AD37" i="3" s="1"/>
  <c r="AE37" i="3" s="1"/>
  <c r="AF37" i="3" s="1"/>
  <c r="AG37" i="3" s="1"/>
  <c r="E36" i="3"/>
  <c r="F36" i="3" s="1"/>
  <c r="G36" i="3" s="1"/>
  <c r="H36" i="3" s="1"/>
  <c r="I36" i="3" s="1"/>
  <c r="J36" i="3" s="1"/>
  <c r="K36" i="3" s="1"/>
  <c r="L36" i="3" s="1"/>
  <c r="M36" i="3" s="1"/>
  <c r="N36" i="3" s="1"/>
  <c r="O36" i="3" s="1"/>
  <c r="P36" i="3" s="1"/>
  <c r="Q36" i="3" s="1"/>
  <c r="R36" i="3" s="1"/>
  <c r="S36" i="3" s="1"/>
  <c r="T36" i="3" s="1"/>
  <c r="U36" i="3" s="1"/>
  <c r="V36" i="3" s="1"/>
  <c r="W36" i="3" s="1"/>
  <c r="X36" i="3" s="1"/>
  <c r="Y36" i="3" s="1"/>
  <c r="Z36" i="3" s="1"/>
  <c r="AA36" i="3" s="1"/>
  <c r="AB36" i="3" s="1"/>
  <c r="AC36" i="3" s="1"/>
  <c r="AD36" i="3" s="1"/>
  <c r="AE36" i="3" s="1"/>
  <c r="AF36" i="3" s="1"/>
  <c r="AG36" i="3" s="1"/>
  <c r="E35" i="3"/>
  <c r="F35" i="3" s="1"/>
  <c r="G35" i="3" s="1"/>
  <c r="H35" i="3" s="1"/>
  <c r="I35" i="3" s="1"/>
  <c r="J35" i="3" s="1"/>
  <c r="K35" i="3" s="1"/>
  <c r="L35" i="3" s="1"/>
  <c r="M35" i="3" s="1"/>
  <c r="N35" i="3" s="1"/>
  <c r="O35" i="3" s="1"/>
  <c r="P35" i="3" s="1"/>
  <c r="Q35" i="3" s="1"/>
  <c r="R35" i="3" s="1"/>
  <c r="S35" i="3" s="1"/>
  <c r="T35" i="3" s="1"/>
  <c r="U35" i="3" s="1"/>
  <c r="V35" i="3" s="1"/>
  <c r="W35" i="3" s="1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E34" i="3"/>
  <c r="F34" i="3" s="1"/>
  <c r="G34" i="3" s="1"/>
  <c r="H34" i="3" s="1"/>
  <c r="I34" i="3" s="1"/>
  <c r="J34" i="3" s="1"/>
  <c r="K34" i="3" s="1"/>
  <c r="L34" i="3" s="1"/>
  <c r="M34" i="3" s="1"/>
  <c r="N34" i="3" s="1"/>
  <c r="O34" i="3" s="1"/>
  <c r="P34" i="3" s="1"/>
  <c r="Q34" i="3" s="1"/>
  <c r="R34" i="3" s="1"/>
  <c r="S34" i="3" s="1"/>
  <c r="T34" i="3" s="1"/>
  <c r="U34" i="3" s="1"/>
  <c r="V34" i="3" s="1"/>
  <c r="W34" i="3" s="1"/>
  <c r="X34" i="3" s="1"/>
  <c r="Y34" i="3" s="1"/>
  <c r="Z34" i="3" s="1"/>
  <c r="AA34" i="3" s="1"/>
  <c r="AB34" i="3" s="1"/>
  <c r="AC34" i="3" s="1"/>
  <c r="AD34" i="3" s="1"/>
  <c r="AE34" i="3" s="1"/>
  <c r="AF34" i="3" s="1"/>
  <c r="AG34" i="3" s="1"/>
  <c r="D32" i="3"/>
  <c r="E32" i="3" s="1"/>
  <c r="C24" i="3"/>
  <c r="G24" i="3"/>
  <c r="G39" i="3" s="1"/>
  <c r="H18" i="3"/>
  <c r="I18" i="3" s="1"/>
  <c r="J18" i="3" s="1"/>
  <c r="K18" i="3" s="1"/>
  <c r="L18" i="3" s="1"/>
  <c r="M18" i="3" s="1"/>
  <c r="N18" i="3" s="1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H17" i="3"/>
  <c r="I17" i="3" s="1"/>
  <c r="J17" i="3" s="1"/>
  <c r="K17" i="3" s="1"/>
  <c r="L17" i="3" s="1"/>
  <c r="M17" i="3" s="1"/>
  <c r="N17" i="3" s="1"/>
  <c r="O17" i="3" s="1"/>
  <c r="P17" i="3" s="1"/>
  <c r="Q17" i="3" s="1"/>
  <c r="R17" i="3" s="1"/>
  <c r="S17" i="3" s="1"/>
  <c r="T17" i="3" s="1"/>
  <c r="U17" i="3" s="1"/>
  <c r="V17" i="3" s="1"/>
  <c r="W17" i="3" s="1"/>
  <c r="X17" i="3" s="1"/>
  <c r="Y17" i="3" s="1"/>
  <c r="Z17" i="3" s="1"/>
  <c r="AA17" i="3" s="1"/>
  <c r="AB17" i="3" s="1"/>
  <c r="AC17" i="3" s="1"/>
  <c r="AD17" i="3" s="1"/>
  <c r="AE17" i="3" s="1"/>
  <c r="AF17" i="3" s="1"/>
  <c r="AG17" i="3" s="1"/>
  <c r="H16" i="3"/>
  <c r="I16" i="3" s="1"/>
  <c r="J16" i="3" s="1"/>
  <c r="K16" i="3" s="1"/>
  <c r="L16" i="3" s="1"/>
  <c r="M16" i="3" s="1"/>
  <c r="N16" i="3" s="1"/>
  <c r="O16" i="3" s="1"/>
  <c r="P16" i="3" s="1"/>
  <c r="Q16" i="3" s="1"/>
  <c r="R16" i="3" s="1"/>
  <c r="S16" i="3" s="1"/>
  <c r="T16" i="3" s="1"/>
  <c r="U16" i="3" s="1"/>
  <c r="V16" i="3" s="1"/>
  <c r="W16" i="3" s="1"/>
  <c r="X16" i="3" s="1"/>
  <c r="Y16" i="3" s="1"/>
  <c r="Z16" i="3" s="1"/>
  <c r="AA16" i="3" s="1"/>
  <c r="AB16" i="3" s="1"/>
  <c r="AC16" i="3" s="1"/>
  <c r="AD16" i="3" s="1"/>
  <c r="AE16" i="3" s="1"/>
  <c r="AF16" i="3" s="1"/>
  <c r="AG16" i="3" s="1"/>
  <c r="D22" i="3"/>
  <c r="E21" i="3"/>
  <c r="F21" i="3"/>
  <c r="D21" i="3"/>
  <c r="E18" i="3"/>
  <c r="F18" i="3"/>
  <c r="D18" i="3"/>
  <c r="E17" i="3"/>
  <c r="F17" i="3"/>
  <c r="D17" i="3"/>
  <c r="E16" i="3"/>
  <c r="F16" i="3"/>
  <c r="D16" i="3"/>
  <c r="I15" i="3"/>
  <c r="J15" i="3" s="1"/>
  <c r="K15" i="3" s="1"/>
  <c r="L15" i="3" s="1"/>
  <c r="M15" i="3" s="1"/>
  <c r="N15" i="3" s="1"/>
  <c r="O15" i="3" s="1"/>
  <c r="P15" i="3" s="1"/>
  <c r="Q15" i="3" s="1"/>
  <c r="R15" i="3" s="1"/>
  <c r="S15" i="3" s="1"/>
  <c r="T15" i="3" s="1"/>
  <c r="U15" i="3" s="1"/>
  <c r="V15" i="3" s="1"/>
  <c r="W15" i="3" s="1"/>
  <c r="X15" i="3" s="1"/>
  <c r="Y15" i="3" s="1"/>
  <c r="Z15" i="3" s="1"/>
  <c r="AA15" i="3" s="1"/>
  <c r="AB15" i="3" s="1"/>
  <c r="AC15" i="3" s="1"/>
  <c r="AD15" i="3" s="1"/>
  <c r="AE15" i="3" s="1"/>
  <c r="AF15" i="3" s="1"/>
  <c r="AG15" i="3" s="1"/>
  <c r="E15" i="3"/>
  <c r="F15" i="3" s="1"/>
  <c r="D14" i="3"/>
  <c r="E14" i="3" s="1"/>
  <c r="F14" i="3" s="1"/>
  <c r="G14" i="3" s="1"/>
  <c r="H14" i="3" s="1"/>
  <c r="I14" i="3" s="1"/>
  <c r="J14" i="3" s="1"/>
  <c r="K14" i="3" s="1"/>
  <c r="L14" i="3" s="1"/>
  <c r="M14" i="3" s="1"/>
  <c r="N14" i="3" s="1"/>
  <c r="O14" i="3" s="1"/>
  <c r="P14" i="3" s="1"/>
  <c r="Q14" i="3" s="1"/>
  <c r="R14" i="3" s="1"/>
  <c r="S14" i="3" s="1"/>
  <c r="T14" i="3" s="1"/>
  <c r="U14" i="3" s="1"/>
  <c r="V14" i="3" s="1"/>
  <c r="W14" i="3" s="1"/>
  <c r="X14" i="3" s="1"/>
  <c r="Y14" i="3" s="1"/>
  <c r="Z14" i="3" s="1"/>
  <c r="AA14" i="3" s="1"/>
  <c r="AB14" i="3" s="1"/>
  <c r="AC14" i="3" s="1"/>
  <c r="AD14" i="3" s="1"/>
  <c r="AE14" i="3" s="1"/>
  <c r="AF14" i="3" s="1"/>
  <c r="AG14" i="3" s="1"/>
  <c r="D29" i="3"/>
  <c r="E29" i="3" s="1"/>
  <c r="F29" i="3" s="1"/>
  <c r="G29" i="3" s="1"/>
  <c r="H29" i="3" s="1"/>
  <c r="I29" i="3" s="1"/>
  <c r="J29" i="3" s="1"/>
  <c r="K29" i="3" s="1"/>
  <c r="L29" i="3" s="1"/>
  <c r="M29" i="3" s="1"/>
  <c r="N29" i="3" s="1"/>
  <c r="O29" i="3" s="1"/>
  <c r="P29" i="3" s="1"/>
  <c r="Q29" i="3" s="1"/>
  <c r="R29" i="3" s="1"/>
  <c r="S29" i="3" s="1"/>
  <c r="T29" i="3" s="1"/>
  <c r="U29" i="3" s="1"/>
  <c r="V29" i="3" s="1"/>
  <c r="W29" i="3" s="1"/>
  <c r="X29" i="3" s="1"/>
  <c r="Y29" i="3" s="1"/>
  <c r="Z29" i="3" s="1"/>
  <c r="AA29" i="3" s="1"/>
  <c r="AB29" i="3" s="1"/>
  <c r="AC29" i="3" s="1"/>
  <c r="AD29" i="3" s="1"/>
  <c r="AE29" i="3" s="1"/>
  <c r="AF29" i="3" s="1"/>
  <c r="AG29" i="3" s="1"/>
  <c r="H24" i="3" l="1"/>
  <c r="H39" i="3" s="1"/>
  <c r="E33" i="3"/>
  <c r="E38" i="3" s="1"/>
  <c r="F32" i="3"/>
  <c r="D33" i="3"/>
  <c r="D41" i="3" s="1"/>
  <c r="F24" i="3"/>
  <c r="AG24" i="3"/>
  <c r="AG39" i="3" s="1"/>
  <c r="N24" i="3"/>
  <c r="N39" i="3" s="1"/>
  <c r="L24" i="3"/>
  <c r="L39" i="3" s="1"/>
  <c r="D24" i="3"/>
  <c r="E24" i="3"/>
  <c r="AC24" i="3"/>
  <c r="AC39" i="3" s="1"/>
  <c r="W24" i="3"/>
  <c r="W39" i="3" s="1"/>
  <c r="Q24" i="3"/>
  <c r="Q39" i="3" s="1"/>
  <c r="K24" i="3"/>
  <c r="K39" i="3" s="1"/>
  <c r="AB24" i="3"/>
  <c r="AB39" i="3" s="1"/>
  <c r="V24" i="3"/>
  <c r="V39" i="3" s="1"/>
  <c r="P24" i="3"/>
  <c r="P39" i="3" s="1"/>
  <c r="J24" i="3"/>
  <c r="J39" i="3" s="1"/>
  <c r="AD24" i="3"/>
  <c r="AD39" i="3" s="1"/>
  <c r="X24" i="3"/>
  <c r="X39" i="3" s="1"/>
  <c r="R24" i="3"/>
  <c r="R39" i="3" s="1"/>
  <c r="AA24" i="3"/>
  <c r="AA39" i="3" s="1"/>
  <c r="U24" i="3"/>
  <c r="U39" i="3" s="1"/>
  <c r="O24" i="3"/>
  <c r="O39" i="3" s="1"/>
  <c r="I24" i="3"/>
  <c r="I39" i="3" s="1"/>
  <c r="AF24" i="3"/>
  <c r="AF39" i="3" s="1"/>
  <c r="Z24" i="3"/>
  <c r="Z39" i="3" s="1"/>
  <c r="T24" i="3"/>
  <c r="T39" i="3" s="1"/>
  <c r="AE24" i="3"/>
  <c r="AE39" i="3" s="1"/>
  <c r="Y24" i="3"/>
  <c r="Y39" i="3" s="1"/>
  <c r="S24" i="3"/>
  <c r="S39" i="3" s="1"/>
  <c r="M24" i="3"/>
  <c r="M39" i="3" s="1"/>
  <c r="E25" i="3" l="1"/>
  <c r="E40" i="3" s="1"/>
  <c r="M25" i="3"/>
  <c r="M40" i="3" s="1"/>
  <c r="M54" i="3" s="1"/>
  <c r="S25" i="3"/>
  <c r="S40" i="3" s="1"/>
  <c r="S54" i="3" s="1"/>
  <c r="Y25" i="3"/>
  <c r="Y40" i="3" s="1"/>
  <c r="Y54" i="3" s="1"/>
  <c r="AE25" i="3"/>
  <c r="AE40" i="3" s="1"/>
  <c r="AE54" i="3" s="1"/>
  <c r="K25" i="3"/>
  <c r="K40" i="3" s="1"/>
  <c r="K54" i="3" s="1"/>
  <c r="AC25" i="3"/>
  <c r="AC40" i="3" s="1"/>
  <c r="AC54" i="3" s="1"/>
  <c r="AD25" i="3"/>
  <c r="AD40" i="3" s="1"/>
  <c r="AD54" i="3" s="1"/>
  <c r="H25" i="3"/>
  <c r="H40" i="3" s="1"/>
  <c r="H54" i="3" s="1"/>
  <c r="N25" i="3"/>
  <c r="N40" i="3" s="1"/>
  <c r="N54" i="3" s="1"/>
  <c r="T25" i="3"/>
  <c r="T40" i="3" s="1"/>
  <c r="T54" i="3" s="1"/>
  <c r="Z25" i="3"/>
  <c r="Z40" i="3" s="1"/>
  <c r="Z54" i="3" s="1"/>
  <c r="AF25" i="3"/>
  <c r="AF40" i="3" s="1"/>
  <c r="AF54" i="3" s="1"/>
  <c r="Q25" i="3"/>
  <c r="Q40" i="3" s="1"/>
  <c r="Q54" i="3" s="1"/>
  <c r="R25" i="3"/>
  <c r="R40" i="3" s="1"/>
  <c r="R54" i="3" s="1"/>
  <c r="I25" i="3"/>
  <c r="I40" i="3" s="1"/>
  <c r="I54" i="3" s="1"/>
  <c r="O25" i="3"/>
  <c r="O40" i="3" s="1"/>
  <c r="O54" i="3" s="1"/>
  <c r="U25" i="3"/>
  <c r="U40" i="3" s="1"/>
  <c r="U54" i="3" s="1"/>
  <c r="AA25" i="3"/>
  <c r="AA40" i="3" s="1"/>
  <c r="AA54" i="3" s="1"/>
  <c r="AG25" i="3"/>
  <c r="AG40" i="3" s="1"/>
  <c r="AG54" i="3" s="1"/>
  <c r="J25" i="3"/>
  <c r="J40" i="3" s="1"/>
  <c r="J54" i="3" s="1"/>
  <c r="P25" i="3"/>
  <c r="P40" i="3" s="1"/>
  <c r="P54" i="3" s="1"/>
  <c r="V25" i="3"/>
  <c r="V40" i="3" s="1"/>
  <c r="V54" i="3" s="1"/>
  <c r="AB25" i="3"/>
  <c r="AB40" i="3" s="1"/>
  <c r="AB54" i="3" s="1"/>
  <c r="F25" i="3"/>
  <c r="F40" i="3" s="1"/>
  <c r="F54" i="3" s="1"/>
  <c r="W25" i="3"/>
  <c r="W40" i="3" s="1"/>
  <c r="W54" i="3" s="1"/>
  <c r="L25" i="3"/>
  <c r="L40" i="3" s="1"/>
  <c r="L54" i="3" s="1"/>
  <c r="X25" i="3"/>
  <c r="X40" i="3" s="1"/>
  <c r="X54" i="3" s="1"/>
  <c r="D44" i="3"/>
  <c r="D47" i="3" s="1"/>
  <c r="D48" i="3" s="1"/>
  <c r="E41" i="3"/>
  <c r="G32" i="3"/>
  <c r="F33" i="3"/>
  <c r="F38" i="3" s="1"/>
  <c r="G25" i="3" l="1"/>
  <c r="G40" i="3" s="1"/>
  <c r="G54" i="3" s="1"/>
  <c r="E54" i="3"/>
  <c r="E44" i="3"/>
  <c r="E47" i="3" s="1"/>
  <c r="E48" i="3" s="1"/>
  <c r="D49" i="3"/>
  <c r="D53" i="3" s="1"/>
  <c r="D57" i="3" s="1"/>
  <c r="D79" i="3" s="1"/>
  <c r="D56" i="3"/>
  <c r="D63" i="3"/>
  <c r="F41" i="3"/>
  <c r="F44" i="3" s="1"/>
  <c r="F47" i="3" s="1"/>
  <c r="H32" i="3"/>
  <c r="G33" i="3"/>
  <c r="G38" i="3" s="1"/>
  <c r="D71" i="3" l="1"/>
  <c r="D81" i="3" s="1"/>
  <c r="E49" i="3"/>
  <c r="E53" i="3" s="1"/>
  <c r="E56" i="3"/>
  <c r="E63" i="3"/>
  <c r="F48" i="3"/>
  <c r="G41" i="3"/>
  <c r="I32" i="3"/>
  <c r="H33" i="3"/>
  <c r="H38" i="3" s="1"/>
  <c r="D76" i="3" l="1"/>
  <c r="F49" i="3"/>
  <c r="F53" i="3" s="1"/>
  <c r="F63" i="3"/>
  <c r="F56" i="3"/>
  <c r="G44" i="3"/>
  <c r="G47" i="3" s="1"/>
  <c r="G48" i="3" s="1"/>
  <c r="E57" i="3"/>
  <c r="H41" i="3"/>
  <c r="H44" i="3" s="1"/>
  <c r="H47" i="3" s="1"/>
  <c r="J32" i="3"/>
  <c r="I33" i="3"/>
  <c r="I38" i="3" s="1"/>
  <c r="E71" i="3" l="1"/>
  <c r="E81" i="3" s="1"/>
  <c r="E79" i="3"/>
  <c r="E73" i="3"/>
  <c r="G49" i="3"/>
  <c r="G53" i="3" s="1"/>
  <c r="G56" i="3"/>
  <c r="G63" i="3"/>
  <c r="F57" i="3"/>
  <c r="H48" i="3"/>
  <c r="I41" i="3"/>
  <c r="I44" i="3" s="1"/>
  <c r="I47" i="3" s="1"/>
  <c r="K32" i="3"/>
  <c r="J33" i="3"/>
  <c r="J38" i="3" s="1"/>
  <c r="E76" i="3" l="1"/>
  <c r="F71" i="3"/>
  <c r="F81" i="3" s="1"/>
  <c r="F79" i="3"/>
  <c r="F73" i="3"/>
  <c r="F76" i="3"/>
  <c r="H49" i="3"/>
  <c r="H53" i="3" s="1"/>
  <c r="H56" i="3"/>
  <c r="H63" i="3"/>
  <c r="G57" i="3"/>
  <c r="J41" i="3"/>
  <c r="J44" i="3" s="1"/>
  <c r="J47" i="3" s="1"/>
  <c r="I48" i="3"/>
  <c r="L32" i="3"/>
  <c r="K33" i="3"/>
  <c r="K38" i="3" s="1"/>
  <c r="G71" i="3" l="1"/>
  <c r="G81" i="3" s="1"/>
  <c r="G79" i="3"/>
  <c r="H57" i="3"/>
  <c r="I49" i="3"/>
  <c r="I53" i="3" s="1"/>
  <c r="I56" i="3"/>
  <c r="I63" i="3"/>
  <c r="J48" i="3"/>
  <c r="K41" i="3"/>
  <c r="M32" i="3"/>
  <c r="L33" i="3"/>
  <c r="L38" i="3" s="1"/>
  <c r="G73" i="3" l="1"/>
  <c r="G76" i="3"/>
  <c r="I57" i="3"/>
  <c r="H71" i="3"/>
  <c r="H81" i="3" s="1"/>
  <c r="H79" i="3"/>
  <c r="J49" i="3"/>
  <c r="J53" i="3" s="1"/>
  <c r="J56" i="3"/>
  <c r="J63" i="3"/>
  <c r="K44" i="3"/>
  <c r="K47" i="3" s="1"/>
  <c r="K48" i="3" s="1"/>
  <c r="L41" i="3"/>
  <c r="L44" i="3" s="1"/>
  <c r="L47" i="3" s="1"/>
  <c r="N32" i="3"/>
  <c r="M33" i="3"/>
  <c r="M38" i="3" s="1"/>
  <c r="H73" i="3" l="1"/>
  <c r="H76" i="3"/>
  <c r="I71" i="3"/>
  <c r="I81" i="3" s="1"/>
  <c r="I79" i="3"/>
  <c r="K49" i="3"/>
  <c r="K53" i="3" s="1"/>
  <c r="K63" i="3"/>
  <c r="K56" i="3"/>
  <c r="J57" i="3"/>
  <c r="M41" i="3"/>
  <c r="M44" i="3" s="1"/>
  <c r="M47" i="3" s="1"/>
  <c r="L48" i="3"/>
  <c r="O32" i="3"/>
  <c r="N33" i="3"/>
  <c r="N38" i="3" s="1"/>
  <c r="I76" i="3" l="1"/>
  <c r="I73" i="3"/>
  <c r="J71" i="3"/>
  <c r="J79" i="3"/>
  <c r="L49" i="3"/>
  <c r="L53" i="3" s="1"/>
  <c r="L63" i="3"/>
  <c r="L56" i="3"/>
  <c r="K57" i="3"/>
  <c r="M48" i="3"/>
  <c r="N41" i="3"/>
  <c r="N44" i="3" s="1"/>
  <c r="N47" i="3" s="1"/>
  <c r="P32" i="3"/>
  <c r="O33" i="3"/>
  <c r="O38" i="3" s="1"/>
  <c r="J73" i="3" l="1"/>
  <c r="J81" i="3"/>
  <c r="J76" i="3"/>
  <c r="K71" i="3"/>
  <c r="K81" i="3" s="1"/>
  <c r="K79" i="3"/>
  <c r="M49" i="3"/>
  <c r="M53" i="3" s="1"/>
  <c r="M56" i="3"/>
  <c r="M63" i="3"/>
  <c r="L57" i="3"/>
  <c r="O41" i="3"/>
  <c r="O44" i="3" s="1"/>
  <c r="O47" i="3" s="1"/>
  <c r="N48" i="3"/>
  <c r="Q32" i="3"/>
  <c r="P33" i="3"/>
  <c r="P38" i="3" s="1"/>
  <c r="K76" i="3" l="1"/>
  <c r="K73" i="3"/>
  <c r="L71" i="3"/>
  <c r="L81" i="3" s="1"/>
  <c r="L79" i="3"/>
  <c r="N49" i="3"/>
  <c r="N53" i="3" s="1"/>
  <c r="N56" i="3"/>
  <c r="N63" i="3"/>
  <c r="M57" i="3"/>
  <c r="P41" i="3"/>
  <c r="P44" i="3" s="1"/>
  <c r="P47" i="3" s="1"/>
  <c r="O48" i="3"/>
  <c r="R32" i="3"/>
  <c r="Q33" i="3"/>
  <c r="Q38" i="3" s="1"/>
  <c r="H11" i="5"/>
  <c r="I11" i="5"/>
  <c r="J11" i="5"/>
  <c r="G11" i="5"/>
  <c r="H10" i="5"/>
  <c r="I10" i="5"/>
  <c r="J10" i="5"/>
  <c r="G10" i="5"/>
  <c r="H9" i="5"/>
  <c r="I9" i="5"/>
  <c r="J9" i="5"/>
  <c r="G9" i="5"/>
  <c r="G14" i="5"/>
  <c r="H14" i="5"/>
  <c r="I14" i="5"/>
  <c r="J14" i="5"/>
  <c r="H13" i="5"/>
  <c r="I13" i="5"/>
  <c r="J13" i="5"/>
  <c r="G13" i="5"/>
  <c r="H12" i="5"/>
  <c r="I12" i="5"/>
  <c r="J12" i="5"/>
  <c r="G12" i="5"/>
  <c r="I11" i="4"/>
  <c r="L8" i="4"/>
  <c r="I14" i="4" s="1"/>
  <c r="N57" i="3" l="1"/>
  <c r="N79" i="3" s="1"/>
  <c r="L73" i="3"/>
  <c r="L76" i="3"/>
  <c r="M71" i="3"/>
  <c r="M79" i="3"/>
  <c r="O49" i="3"/>
  <c r="O53" i="3" s="1"/>
  <c r="O56" i="3"/>
  <c r="O63" i="3"/>
  <c r="Q41" i="3"/>
  <c r="Q44" i="3" s="1"/>
  <c r="Q47" i="3" s="1"/>
  <c r="P48" i="3"/>
  <c r="P49" i="3" s="1"/>
  <c r="P53" i="3" s="1"/>
  <c r="S32" i="3"/>
  <c r="R33" i="3"/>
  <c r="R38" i="3" s="1"/>
  <c r="L87" i="3"/>
  <c r="I90" i="3"/>
  <c r="N71" i="3" l="1"/>
  <c r="N81" i="3" s="1"/>
  <c r="M73" i="3"/>
  <c r="M81" i="3"/>
  <c r="O57" i="3"/>
  <c r="M76" i="3"/>
  <c r="P63" i="3"/>
  <c r="P56" i="3"/>
  <c r="P57" i="3" s="1"/>
  <c r="Q48" i="3"/>
  <c r="R41" i="3"/>
  <c r="T32" i="3"/>
  <c r="S33" i="3"/>
  <c r="S38" i="3" s="1"/>
  <c r="I93" i="3"/>
  <c r="C84" i="3" s="1"/>
  <c r="N73" i="3" l="1"/>
  <c r="N76" i="3"/>
  <c r="D80" i="3"/>
  <c r="D82" i="3"/>
  <c r="E80" i="3"/>
  <c r="E82" i="3"/>
  <c r="F80" i="3"/>
  <c r="F82" i="3"/>
  <c r="G80" i="3"/>
  <c r="G82" i="3"/>
  <c r="H80" i="3"/>
  <c r="H82" i="3"/>
  <c r="I80" i="3"/>
  <c r="I82" i="3"/>
  <c r="J80" i="3"/>
  <c r="K80" i="3"/>
  <c r="J82" i="3"/>
  <c r="K82" i="3"/>
  <c r="L82" i="3"/>
  <c r="L80" i="3"/>
  <c r="N82" i="3"/>
  <c r="M82" i="3"/>
  <c r="M80" i="3"/>
  <c r="N80" i="3"/>
  <c r="P71" i="3"/>
  <c r="P79" i="3"/>
  <c r="P80" i="3" s="1"/>
  <c r="O71" i="3"/>
  <c r="O81" i="3" s="1"/>
  <c r="O82" i="3" s="1"/>
  <c r="O79" i="3"/>
  <c r="O80" i="3" s="1"/>
  <c r="Q49" i="3"/>
  <c r="Q53" i="3" s="1"/>
  <c r="Q63" i="3"/>
  <c r="Q56" i="3"/>
  <c r="R44" i="3"/>
  <c r="R47" i="3" s="1"/>
  <c r="R48" i="3" s="1"/>
  <c r="S41" i="3"/>
  <c r="S44" i="3" s="1"/>
  <c r="S47" i="3" s="1"/>
  <c r="U32" i="3"/>
  <c r="T33" i="3"/>
  <c r="T38" i="3" s="1"/>
  <c r="P76" i="3" l="1"/>
  <c r="P81" i="3"/>
  <c r="P82" i="3" s="1"/>
  <c r="P73" i="3"/>
  <c r="O76" i="3"/>
  <c r="O73" i="3"/>
  <c r="R49" i="3"/>
  <c r="R53" i="3" s="1"/>
  <c r="R63" i="3"/>
  <c r="R56" i="3"/>
  <c r="Q57" i="3"/>
  <c r="S48" i="3"/>
  <c r="T41" i="3"/>
  <c r="T44" i="3" s="1"/>
  <c r="T47" i="3" s="1"/>
  <c r="V32" i="3"/>
  <c r="U33" i="3"/>
  <c r="U38" i="3" s="1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I30" i="3"/>
  <c r="J30" i="3" s="1"/>
  <c r="K30" i="3" s="1"/>
  <c r="L30" i="3" s="1"/>
  <c r="M30" i="3" s="1"/>
  <c r="N30" i="3" s="1"/>
  <c r="O30" i="3" s="1"/>
  <c r="P30" i="3" s="1"/>
  <c r="Q30" i="3" s="1"/>
  <c r="R30" i="3" s="1"/>
  <c r="S30" i="3" s="1"/>
  <c r="T30" i="3" s="1"/>
  <c r="U30" i="3" s="1"/>
  <c r="V30" i="3" s="1"/>
  <c r="W30" i="3" s="1"/>
  <c r="X30" i="3" s="1"/>
  <c r="Y30" i="3" s="1"/>
  <c r="Z30" i="3" s="1"/>
  <c r="AA30" i="3" s="1"/>
  <c r="AB30" i="3" s="1"/>
  <c r="AC30" i="3" s="1"/>
  <c r="AD30" i="3" s="1"/>
  <c r="AE30" i="3" s="1"/>
  <c r="AF30" i="3" s="1"/>
  <c r="AG30" i="3" s="1"/>
  <c r="E30" i="3"/>
  <c r="F30" i="3" s="1"/>
  <c r="C16" i="1"/>
  <c r="Q71" i="3" l="1"/>
  <c r="Q81" i="3" s="1"/>
  <c r="Q82" i="3" s="1"/>
  <c r="Q79" i="3"/>
  <c r="Q80" i="3" s="1"/>
  <c r="S49" i="3"/>
  <c r="S53" i="3" s="1"/>
  <c r="S56" i="3"/>
  <c r="S63" i="3"/>
  <c r="R57" i="3"/>
  <c r="U41" i="3"/>
  <c r="T48" i="3"/>
  <c r="W32" i="3"/>
  <c r="V33" i="3"/>
  <c r="V38" i="3" s="1"/>
  <c r="H58" i="3"/>
  <c r="G58" i="3"/>
  <c r="Q76" i="3" l="1"/>
  <c r="Q73" i="3"/>
  <c r="R71" i="3"/>
  <c r="R81" i="3" s="1"/>
  <c r="R82" i="3" s="1"/>
  <c r="R79" i="3"/>
  <c r="R80" i="3" s="1"/>
  <c r="R73" i="3"/>
  <c r="R76" i="3"/>
  <c r="S57" i="3"/>
  <c r="T49" i="3"/>
  <c r="T53" i="3" s="1"/>
  <c r="T56" i="3"/>
  <c r="T63" i="3"/>
  <c r="U44" i="3"/>
  <c r="U47" i="3" s="1"/>
  <c r="U48" i="3" s="1"/>
  <c r="V41" i="3"/>
  <c r="X32" i="3"/>
  <c r="W33" i="3"/>
  <c r="W38" i="3" s="1"/>
  <c r="S71" i="3" l="1"/>
  <c r="S81" i="3" s="1"/>
  <c r="S82" i="3" s="1"/>
  <c r="S79" i="3"/>
  <c r="S80" i="3" s="1"/>
  <c r="T57" i="3"/>
  <c r="S73" i="3"/>
  <c r="U49" i="3"/>
  <c r="U53" i="3" s="1"/>
  <c r="U56" i="3"/>
  <c r="U63" i="3"/>
  <c r="V44" i="3"/>
  <c r="V47" i="3" s="1"/>
  <c r="V48" i="3" s="1"/>
  <c r="W41" i="3"/>
  <c r="W44" i="3" s="1"/>
  <c r="W47" i="3" s="1"/>
  <c r="Y32" i="3"/>
  <c r="X33" i="3"/>
  <c r="X38" i="3" s="1"/>
  <c r="S76" i="3" l="1"/>
  <c r="T71" i="3"/>
  <c r="T81" i="3" s="1"/>
  <c r="T82" i="3" s="1"/>
  <c r="T79" i="3"/>
  <c r="T80" i="3" s="1"/>
  <c r="V49" i="3"/>
  <c r="V53" i="3" s="1"/>
  <c r="V63" i="3"/>
  <c r="V56" i="3"/>
  <c r="U57" i="3"/>
  <c r="X41" i="3"/>
  <c r="X44" i="3" s="1"/>
  <c r="X47" i="3" s="1"/>
  <c r="W48" i="3"/>
  <c r="Z32" i="3"/>
  <c r="Y33" i="3"/>
  <c r="Y38" i="3" s="1"/>
  <c r="U71" i="3" l="1"/>
  <c r="U81" i="3" s="1"/>
  <c r="U82" i="3" s="1"/>
  <c r="U79" i="3"/>
  <c r="U80" i="3" s="1"/>
  <c r="T73" i="3"/>
  <c r="T76" i="3"/>
  <c r="U76" i="3"/>
  <c r="U73" i="3"/>
  <c r="W49" i="3"/>
  <c r="W53" i="3" s="1"/>
  <c r="W56" i="3"/>
  <c r="W63" i="3"/>
  <c r="V57" i="3"/>
  <c r="Y41" i="3"/>
  <c r="Y44" i="3" s="1"/>
  <c r="Y47" i="3" s="1"/>
  <c r="X48" i="3"/>
  <c r="AA32" i="3"/>
  <c r="Z33" i="3"/>
  <c r="Z38" i="3" s="1"/>
  <c r="V71" i="3" l="1"/>
  <c r="V81" i="3" s="1"/>
  <c r="V82" i="3" s="1"/>
  <c r="V79" i="3"/>
  <c r="V80" i="3" s="1"/>
  <c r="V73" i="3"/>
  <c r="X49" i="3"/>
  <c r="X53" i="3" s="1"/>
  <c r="X63" i="3"/>
  <c r="X56" i="3"/>
  <c r="W57" i="3"/>
  <c r="Z41" i="3"/>
  <c r="Z44" i="3" s="1"/>
  <c r="Z47" i="3" s="1"/>
  <c r="Y48" i="3"/>
  <c r="AB32" i="3"/>
  <c r="AA33" i="3"/>
  <c r="AA38" i="3" s="1"/>
  <c r="V76" i="3" l="1"/>
  <c r="W71" i="3"/>
  <c r="W81" i="3" s="1"/>
  <c r="W82" i="3" s="1"/>
  <c r="W79" i="3"/>
  <c r="W80" i="3" s="1"/>
  <c r="W73" i="3"/>
  <c r="W76" i="3"/>
  <c r="X57" i="3"/>
  <c r="Y49" i="3"/>
  <c r="Y53" i="3" s="1"/>
  <c r="Y56" i="3"/>
  <c r="Y63" i="3"/>
  <c r="AA41" i="3"/>
  <c r="Z48" i="3"/>
  <c r="AC32" i="3"/>
  <c r="AB33" i="3"/>
  <c r="AB38" i="3" s="1"/>
  <c r="X71" i="3" l="1"/>
  <c r="X79" i="3"/>
  <c r="X80" i="3" s="1"/>
  <c r="C80" i="3" s="1"/>
  <c r="X73" i="3"/>
  <c r="X76" i="3"/>
  <c r="C77" i="3" s="1"/>
  <c r="Y57" i="3"/>
  <c r="AA44" i="3"/>
  <c r="AA47" i="3" s="1"/>
  <c r="AA48" i="3" s="1"/>
  <c r="Z49" i="3"/>
  <c r="Z53" i="3" s="1"/>
  <c r="Z56" i="3"/>
  <c r="Z63" i="3"/>
  <c r="AB41" i="3"/>
  <c r="AB44" i="3" s="1"/>
  <c r="AB47" i="3" s="1"/>
  <c r="AD32" i="3"/>
  <c r="AC33" i="3"/>
  <c r="AC38" i="3" s="1"/>
  <c r="C78" i="3" l="1"/>
  <c r="X81" i="3"/>
  <c r="X82" i="3" s="1"/>
  <c r="C82" i="3" s="1"/>
  <c r="Y71" i="3"/>
  <c r="Y81" i="3" s="1"/>
  <c r="Y82" i="3" s="1"/>
  <c r="Y79" i="3"/>
  <c r="Y80" i="3" s="1"/>
  <c r="Z57" i="3"/>
  <c r="Y73" i="3"/>
  <c r="AA49" i="3"/>
  <c r="AA53" i="3" s="1"/>
  <c r="AA56" i="3"/>
  <c r="AA63" i="3"/>
  <c r="AC41" i="3"/>
  <c r="AC44" i="3" s="1"/>
  <c r="AC47" i="3" s="1"/>
  <c r="AB48" i="3"/>
  <c r="AB49" i="3" s="1"/>
  <c r="AB53" i="3" s="1"/>
  <c r="AE32" i="3"/>
  <c r="AD33" i="3"/>
  <c r="AD38" i="3" s="1"/>
  <c r="Y76" i="3" l="1"/>
  <c r="Z71" i="3"/>
  <c r="Z81" i="3" s="1"/>
  <c r="Z82" i="3" s="1"/>
  <c r="Z79" i="3"/>
  <c r="Z80" i="3" s="1"/>
  <c r="AB63" i="3"/>
  <c r="AB56" i="3"/>
  <c r="AB57" i="3" s="1"/>
  <c r="AA57" i="3"/>
  <c r="AC48" i="3"/>
  <c r="AD41" i="3"/>
  <c r="AD44" i="3" s="1"/>
  <c r="AD47" i="3" s="1"/>
  <c r="AF32" i="3"/>
  <c r="AE33" i="3"/>
  <c r="AE38" i="3" s="1"/>
  <c r="AB71" i="3" l="1"/>
  <c r="AB81" i="3" s="1"/>
  <c r="AB82" i="3" s="1"/>
  <c r="AB79" i="3"/>
  <c r="AB80" i="3" s="1"/>
  <c r="AA71" i="3"/>
  <c r="AA81" i="3" s="1"/>
  <c r="AA82" i="3" s="1"/>
  <c r="AA79" i="3"/>
  <c r="AA80" i="3" s="1"/>
  <c r="Z76" i="3"/>
  <c r="Z73" i="3"/>
  <c r="AB76" i="3"/>
  <c r="AB73" i="3"/>
  <c r="AC49" i="3"/>
  <c r="AC53" i="3" s="1"/>
  <c r="AC56" i="3"/>
  <c r="AC63" i="3"/>
  <c r="AD48" i="3"/>
  <c r="AE41" i="3"/>
  <c r="AE44" i="3" s="1"/>
  <c r="AE47" i="3" s="1"/>
  <c r="AG32" i="3"/>
  <c r="AF33" i="3"/>
  <c r="AF38" i="3" s="1"/>
  <c r="AA73" i="3" l="1"/>
  <c r="AA76" i="3"/>
  <c r="AD49" i="3"/>
  <c r="AD53" i="3" s="1"/>
  <c r="AD63" i="3"/>
  <c r="AD56" i="3"/>
  <c r="AC57" i="3"/>
  <c r="AF41" i="3"/>
  <c r="AF44" i="3" s="1"/>
  <c r="AF47" i="3" s="1"/>
  <c r="AE48" i="3"/>
  <c r="AG33" i="3"/>
  <c r="AG38" i="3" s="1"/>
  <c r="AC71" i="3" l="1"/>
  <c r="AC81" i="3" s="1"/>
  <c r="AC82" i="3" s="1"/>
  <c r="AC79" i="3"/>
  <c r="AC80" i="3" s="1"/>
  <c r="AC73" i="3"/>
  <c r="AC76" i="3"/>
  <c r="AE49" i="3"/>
  <c r="AE53" i="3" s="1"/>
  <c r="AE56" i="3"/>
  <c r="AE63" i="3"/>
  <c r="AD57" i="3"/>
  <c r="AG41" i="3"/>
  <c r="AG44" i="3" s="1"/>
  <c r="AG47" i="3" s="1"/>
  <c r="AF48" i="3"/>
  <c r="AD71" i="3" l="1"/>
  <c r="AD81" i="3" s="1"/>
  <c r="AD82" i="3" s="1"/>
  <c r="AD79" i="3"/>
  <c r="AD80" i="3" s="1"/>
  <c r="AD73" i="3"/>
  <c r="AD76" i="3"/>
  <c r="AF49" i="3"/>
  <c r="AF53" i="3" s="1"/>
  <c r="AF56" i="3"/>
  <c r="AF63" i="3"/>
  <c r="AE57" i="3"/>
  <c r="AG48" i="3"/>
  <c r="AE71" i="3" l="1"/>
  <c r="AE81" i="3" s="1"/>
  <c r="AE82" i="3" s="1"/>
  <c r="AE79" i="3"/>
  <c r="AE80" i="3" s="1"/>
  <c r="AE73" i="3"/>
  <c r="AE76" i="3"/>
  <c r="AG49" i="3"/>
  <c r="AG53" i="3" s="1"/>
  <c r="AG56" i="3"/>
  <c r="AG63" i="3"/>
  <c r="AF57" i="3"/>
  <c r="AF71" i="3" l="1"/>
  <c r="AF81" i="3" s="1"/>
  <c r="AF82" i="3" s="1"/>
  <c r="AF79" i="3"/>
  <c r="AF80" i="3" s="1"/>
  <c r="AG57" i="3"/>
  <c r="AF73" i="3" l="1"/>
  <c r="AF76" i="3"/>
  <c r="AG71" i="3"/>
  <c r="AG81" i="3" s="1"/>
  <c r="AG82" i="3" s="1"/>
  <c r="AG79" i="3"/>
  <c r="AG80" i="3" s="1"/>
  <c r="AG76" i="3"/>
  <c r="AG73" i="3"/>
  <c r="O58" i="3"/>
  <c r="U58" i="3"/>
  <c r="W58" i="3"/>
  <c r="Z58" i="3"/>
  <c r="AB58" i="3"/>
  <c r="I58" i="3"/>
  <c r="AF58" i="3" l="1"/>
  <c r="N58" i="3"/>
  <c r="K58" i="3"/>
  <c r="J58" i="3"/>
  <c r="Q58" i="3"/>
  <c r="V58" i="3"/>
  <c r="X58" i="3"/>
  <c r="AD58" i="3"/>
  <c r="P58" i="3"/>
  <c r="M58" i="3"/>
  <c r="T58" i="3"/>
  <c r="AG58" i="3"/>
  <c r="L58" i="3" l="1"/>
  <c r="AE58" i="3"/>
  <c r="AC58" i="3"/>
  <c r="R58" i="3"/>
  <c r="AA58" i="3"/>
  <c r="S58" i="3"/>
  <c r="Y5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Cloud</author>
  </authors>
  <commentList>
    <comment ref="I87" authorId="0" shapeId="0" xr:uid="{5AB149A7-673A-40BF-A7AD-D8E83327E754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应该运用25年期的国债收益率，而不是10年期的，随处可查。</t>
        </r>
      </text>
    </comment>
    <comment ref="L87" authorId="0" shapeId="0" xr:uid="{3D845688-0FAC-4C22-A57C-35D997025E65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《指引》基础设施基金总资产被动超过基金净资产140%的，基础设
施基金不得新增借款，基金管理人应当及时向中国证监会报告
相关情况及拟采取的措施等。因此，我将D/E的敏感驱动值设计为：0，0.2，0.3，0.4
</t>
        </r>
      </text>
    </comment>
    <comment ref="I88" authorId="0" shapeId="0" xr:uid="{C085C639-5D3F-4460-A6C9-A915776D0685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我直接采用了CVA协会公布的《中国企业资本成本参数估计表2019》中，权益风险溢价，隐含值：6.57%，如果有最新版的，建议大家直接采用。
但是，对于这个值的采用，我分析了CVA文献的内涵解释，现在的取值是基于事前估算法的统计模型回归，而统计模型回归更适用于没有稳定股利发放的上市公司，当然是适合我国股票市场。但是对于有稳定红利回报的Reits市场，建议CVA考虑发布基于分析师预测法的Reits的ERP,股权风险溢价，而且我们的Reits基金就是基于稳定收益数据的折现模型；所以我在敏感分析里面使用了分析师预测法的ERP.</t>
        </r>
      </text>
    </comment>
    <comment ref="I89" authorId="0" shapeId="0" xr:uid="{68065A72-A84C-4A25-A46A-888958E72A28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根据CVA2019 
P33行业平均贝塔：水的生产和供应企业，1.0278
P50不同规模上市公司溢价中BETA值：1.0829
最终取值：1.0278权重80%，1.0829权重20%，得到BETA值：</t>
        </r>
      </text>
    </comment>
    <comment ref="I90" authorId="0" shapeId="0" xr:uid="{4F5E4B86-5542-4240-8F2E-88A4EBD76BEE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91" authorId="0" shapeId="0" xr:uid="{20123E4C-BCF3-4CFD-9ECD-925352D03812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根据以获得的信贷利率均值</t>
        </r>
      </text>
    </comment>
    <comment ref="I92" authorId="0" shapeId="0" xr:uid="{C4260D75-FF64-41B3-9294-179348CC1D0C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根据CVA文献2019，P50数据，取值4.68%
但是仔细研究规模溢价的含义发现，公司规模与其过去的股权收益回报高低存在显著的负相关关系，而Reits的回报稳定是合规性稳定的，流动性相比股票要低且稳定，与规模也没有明显的直接关系，这一点可以从Reits全球历史数据和尤其是Reits股东份额比例和锁定期看出来，因此规模溢价，我们忽略不计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Cloud</author>
  </authors>
  <commentList>
    <comment ref="I8" authorId="0" shapeId="0" xr:uid="{9B7BB6AB-75A0-4F25-8DC4-2F2978F6CCD8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应该运用25年期的国债收益率，而不是10年期的，随处可查。</t>
        </r>
      </text>
    </comment>
    <comment ref="L8" authorId="0" shapeId="0" xr:uid="{4320C01E-1558-4964-8201-C1334371CE4D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《指引》基础设施基金总资产被动超过基金净资产140%的，基础设
施基金不得新增借款，基金管理人应当及时向中国证监会报告
相关情况及拟采取的措施等。因此，我将D/E的敏感驱动值设计为：0，0.2，0.3，0.4
</t>
        </r>
      </text>
    </comment>
    <comment ref="I9" authorId="0" shapeId="0" xr:uid="{1D6F3A3C-8832-48E7-B293-3D42372BAC95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我直接采用了CVA协会公布的《中国企业资本成本参数估计表2019》中，权益风险溢价，隐含值：6.57%，如果有最新版的，建议大家直接采用。
但是，对于这个值的采用，我分析了CVA文献的内涵解释，现在的取值是基于事前估算法的统计模型回归，而统计模型回归更适用于没有稳定股利发放的上市公司，当然是适合我国股票市场。但是对于有稳定红利回报的Reits市场，建议CVA考虑发布基于分析师预测法的Reits的ERP,股权风险溢价，而且我们的Reits基金就是基于稳定收益数据的折现模型；所以我在敏感分析里面使用了几句正对性的4中ERP.</t>
        </r>
      </text>
    </comment>
    <comment ref="I10" authorId="0" shapeId="0" xr:uid="{05B2A750-FB28-43E0-BD07-D74BE53C3659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根据CVA2019 
P33行业平均贝塔：水的生产和供应企业，1.0278
P50不同规模上市公司溢价中BETA值：1.0829
最终取值：1.0278权重80%，1.0829权重20%，得到BETA值：</t>
        </r>
      </text>
    </comment>
    <comment ref="I11" authorId="0" shapeId="0" xr:uid="{326D2E98-5F47-434C-90E7-260EA190BD6A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2" authorId="0" shapeId="0" xr:uid="{C56CC8C7-A696-4B35-A3F6-CE9B8A2D4648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根据以获得的信贷利率均值</t>
        </r>
      </text>
    </comment>
    <comment ref="I13" authorId="0" shapeId="0" xr:uid="{60454151-371B-4DCF-AC7E-F9D482B46928}">
      <text>
        <r>
          <rPr>
            <b/>
            <sz val="9"/>
            <color indexed="81"/>
            <rFont val="宋体"/>
            <family val="3"/>
            <charset val="134"/>
          </rPr>
          <t>Cloud:</t>
        </r>
        <r>
          <rPr>
            <sz val="9"/>
            <color indexed="81"/>
            <rFont val="宋体"/>
            <family val="3"/>
            <charset val="134"/>
          </rPr>
          <t xml:space="preserve">
根据CVA文献2019，P50数据，取值4.68%
但是仔细研究规模溢价的含义发现，公司规模与其过去的股权收益回报高低存在显著的负相关关系，而Reits的回报稳定是合规性稳定的，流动性与规模也没有直接关系，这一点可以从Reits全球历史数据和尤其是Reits股东份额比例和锁定期看出来，因此规模溢价，我们忽略不计。
</t>
        </r>
      </text>
    </comment>
  </commentList>
</comments>
</file>

<file path=xl/sharedStrings.xml><?xml version="1.0" encoding="utf-8"?>
<sst xmlns="http://schemas.openxmlformats.org/spreadsheetml/2006/main" count="137" uniqueCount="118">
  <si>
    <t>项目 账面价值</t>
  </si>
  <si>
    <t>其他流动资产</t>
    <phoneticPr fontId="2" type="noConversion"/>
  </si>
  <si>
    <t xml:space="preserve">固定资产 </t>
    <phoneticPr fontId="2" type="noConversion"/>
  </si>
  <si>
    <t xml:space="preserve">其中：设备类 </t>
    <phoneticPr fontId="2" type="noConversion"/>
  </si>
  <si>
    <t>无形资产</t>
    <phoneticPr fontId="2" type="noConversion"/>
  </si>
  <si>
    <t>其中：其他无形资产 24,700.27</t>
    <phoneticPr fontId="2" type="noConversion"/>
  </si>
  <si>
    <t>递延所得税资产</t>
    <phoneticPr fontId="2" type="noConversion"/>
  </si>
  <si>
    <t>经营性资产合计</t>
    <phoneticPr fontId="2" type="noConversion"/>
  </si>
  <si>
    <t>预计负债</t>
    <phoneticPr fontId="2" type="noConversion"/>
  </si>
  <si>
    <t xml:space="preserve">经营性负债合计 </t>
    <phoneticPr fontId="2" type="noConversion"/>
  </si>
  <si>
    <t xml:space="preserve">资产组合计 </t>
    <phoneticPr fontId="2" type="noConversion"/>
  </si>
  <si>
    <t>公明水厂</t>
  </si>
  <si>
    <t>福永水厂</t>
  </si>
  <si>
    <t>松岗水厂</t>
  </si>
  <si>
    <t>合肥项目</t>
  </si>
  <si>
    <t>市场估值</t>
    <phoneticPr fontId="2" type="noConversion"/>
  </si>
  <si>
    <t>增值率</t>
    <phoneticPr fontId="2" type="noConversion"/>
  </si>
  <si>
    <t>市场估值合计</t>
    <phoneticPr fontId="2" type="noConversion"/>
  </si>
  <si>
    <t>资产组的评估价值</t>
  </si>
  <si>
    <t>单位：万元</t>
    <phoneticPr fontId="2" type="noConversion"/>
  </si>
  <si>
    <t>非资产组资产负债科目（万元）</t>
  </si>
  <si>
    <t>非资产组净负债 -92,007.89</t>
  </si>
  <si>
    <t>其中，首创股份往来款 -78,011.89</t>
  </si>
  <si>
    <t>不含首创股份往来款的剩余资产负债净值 -13,996.00</t>
  </si>
  <si>
    <t xml:space="preserve">非资产组资产合计 </t>
    <phoneticPr fontId="2" type="noConversion"/>
  </si>
  <si>
    <t>非资产组负债合计</t>
    <phoneticPr fontId="2" type="noConversion"/>
  </si>
  <si>
    <t xml:space="preserve">一、营业收入 </t>
    <phoneticPr fontId="2" type="noConversion"/>
  </si>
  <si>
    <t>预测数</t>
    <phoneticPr fontId="2" type="noConversion"/>
  </si>
  <si>
    <t xml:space="preserve"> 预测数</t>
  </si>
  <si>
    <t>减：营业成本</t>
    <phoneticPr fontId="2" type="noConversion"/>
  </si>
  <si>
    <t>税金及附加</t>
    <phoneticPr fontId="2" type="noConversion"/>
  </si>
  <si>
    <t>销售费用</t>
  </si>
  <si>
    <t>加：营业外收入</t>
  </si>
  <si>
    <t>减：营业外支出</t>
  </si>
  <si>
    <t>二、营业利润( 亏损以“-” 号填列）</t>
    <phoneticPr fontId="2" type="noConversion"/>
  </si>
  <si>
    <t>三、利润总额( 亏损总额以“-” 号填列）</t>
    <phoneticPr fontId="2" type="noConversion"/>
  </si>
  <si>
    <t xml:space="preserve">减：所得税费用 </t>
    <phoneticPr fontId="2" type="noConversion"/>
  </si>
  <si>
    <t xml:space="preserve">四、净利润( 净亏损以“-” 号填列） </t>
    <phoneticPr fontId="2" type="noConversion"/>
  </si>
  <si>
    <t>富国首创水务封闭式基础设施证券投资基金可供分配金额测算表</t>
  </si>
  <si>
    <t>（二）利息支出 - -</t>
  </si>
  <si>
    <t>一、净利润( 净亏损以“-” 号填列）</t>
    <phoneticPr fontId="2" type="noConversion"/>
  </si>
  <si>
    <t xml:space="preserve">（一）折旧和摊销 </t>
    <phoneticPr fontId="2" type="noConversion"/>
  </si>
  <si>
    <t xml:space="preserve">（三）所得税费用 </t>
    <phoneticPr fontId="2" type="noConversion"/>
  </si>
  <si>
    <t>三、调整项</t>
    <phoneticPr fontId="2" type="noConversion"/>
  </si>
  <si>
    <t>（一）当期购买基础设施项目等资本性支出</t>
    <phoneticPr fontId="2" type="noConversion"/>
  </si>
  <si>
    <t>（二）基础设施项目资产的公允价值变动损益</t>
    <phoneticPr fontId="2" type="noConversion"/>
  </si>
  <si>
    <t>（三）基础设施项目资产减值准备的变动</t>
    <phoneticPr fontId="2" type="noConversion"/>
  </si>
  <si>
    <t>（四）基础设施项目资产的处置利得或损失</t>
    <phoneticPr fontId="2" type="noConversion"/>
  </si>
  <si>
    <t>（五）支付的利息及所得税费用</t>
    <phoneticPr fontId="2" type="noConversion"/>
  </si>
  <si>
    <t>（六）应收和应付项目的变动</t>
    <phoneticPr fontId="2" type="noConversion"/>
  </si>
  <si>
    <t>（七）未来合理相关支出预留</t>
    <phoneticPr fontId="2" type="noConversion"/>
  </si>
  <si>
    <t>重大资本性支出</t>
    <phoneticPr fontId="2" type="noConversion"/>
  </si>
  <si>
    <t>未来合理期间内的债务利息</t>
    <phoneticPr fontId="2" type="noConversion"/>
  </si>
  <si>
    <t xml:space="preserve">运营费用 </t>
    <phoneticPr fontId="2" type="noConversion"/>
  </si>
  <si>
    <t>其他</t>
    <phoneticPr fontId="2" type="noConversion"/>
  </si>
  <si>
    <t>（八）其他可能的调整项</t>
    <phoneticPr fontId="2" type="noConversion"/>
  </si>
  <si>
    <t xml:space="preserve">四、可供分配金额 </t>
    <phoneticPr fontId="2" type="noConversion"/>
  </si>
  <si>
    <t>二、税息折旧及摊销前利润（EBITDA)</t>
    <phoneticPr fontId="2" type="noConversion"/>
  </si>
  <si>
    <t>EBITDA</t>
    <phoneticPr fontId="2" type="noConversion"/>
  </si>
  <si>
    <t>可供分配金额</t>
    <phoneticPr fontId="2" type="noConversion"/>
  </si>
  <si>
    <t>年份</t>
    <phoneticPr fontId="2" type="noConversion"/>
  </si>
  <si>
    <t>期间</t>
    <phoneticPr fontId="2" type="noConversion"/>
  </si>
  <si>
    <t>WACC</t>
  </si>
  <si>
    <r>
      <t>Cost of Capital</t>
    </r>
    <r>
      <rPr>
        <b/>
        <sz val="9"/>
        <rFont val="宋体"/>
        <family val="2"/>
        <charset val="134"/>
      </rPr>
      <t>资本成本</t>
    </r>
    <phoneticPr fontId="2" type="noConversion"/>
  </si>
  <si>
    <r>
      <t xml:space="preserve">Cost of Equity </t>
    </r>
    <r>
      <rPr>
        <b/>
        <sz val="9"/>
        <rFont val="宋体"/>
        <family val="2"/>
        <charset val="134"/>
      </rPr>
      <t>股权成本</t>
    </r>
    <phoneticPr fontId="2" type="noConversion"/>
  </si>
  <si>
    <r>
      <t xml:space="preserve">Risk Free Rate </t>
    </r>
    <r>
      <rPr>
        <sz val="9"/>
        <rFont val="宋体"/>
        <family val="2"/>
        <charset val="134"/>
      </rPr>
      <t>无风险利率</t>
    </r>
    <phoneticPr fontId="2" type="noConversion"/>
  </si>
  <si>
    <r>
      <t xml:space="preserve">Beta </t>
    </r>
    <r>
      <rPr>
        <sz val="9"/>
        <rFont val="宋体"/>
        <family val="2"/>
        <charset val="134"/>
      </rPr>
      <t>贝塔值</t>
    </r>
    <phoneticPr fontId="2" type="noConversion"/>
  </si>
  <si>
    <t>Equity Value2022</t>
    <phoneticPr fontId="16" type="noConversion"/>
  </si>
  <si>
    <t>Debt YE 2022-2047</t>
    <phoneticPr fontId="16" type="noConversion"/>
  </si>
  <si>
    <r>
      <t xml:space="preserve">Size Premiun </t>
    </r>
    <r>
      <rPr>
        <sz val="9"/>
        <rFont val="宋体"/>
        <family val="2"/>
        <charset val="134"/>
      </rPr>
      <t>规模溢价</t>
    </r>
    <phoneticPr fontId="2" type="noConversion"/>
  </si>
  <si>
    <r>
      <t xml:space="preserve">Equity Risk Premium </t>
    </r>
    <r>
      <rPr>
        <sz val="9"/>
        <rFont val="宋体"/>
        <family val="2"/>
        <charset val="134"/>
      </rPr>
      <t>权益风险溢价</t>
    </r>
    <phoneticPr fontId="2" type="noConversion"/>
  </si>
  <si>
    <t>D/E</t>
    <phoneticPr fontId="2" type="noConversion"/>
  </si>
  <si>
    <r>
      <t>Cost of Debt 2022</t>
    </r>
    <r>
      <rPr>
        <b/>
        <sz val="9"/>
        <rFont val="宋体"/>
        <family val="2"/>
        <charset val="134"/>
      </rPr>
      <t>债权成本</t>
    </r>
    <phoneticPr fontId="16" type="noConversion"/>
  </si>
  <si>
    <t>可分配金额/EBITDA</t>
    <phoneticPr fontId="2" type="noConversion"/>
  </si>
  <si>
    <t>预测数</t>
  </si>
  <si>
    <t>水务基金可供分配金额 AFFO</t>
    <phoneticPr fontId="2" type="noConversion"/>
  </si>
  <si>
    <t>AFFO/基金市值回报率 的可比值</t>
    <phoneticPr fontId="2" type="noConversion"/>
  </si>
  <si>
    <t>预测</t>
    <phoneticPr fontId="2" type="noConversion"/>
  </si>
  <si>
    <t>车库墙面广告位租金收入</t>
    <phoneticPr fontId="2" type="noConversion"/>
  </si>
  <si>
    <t>4其他费用</t>
    <phoneticPr fontId="2" type="noConversion"/>
  </si>
  <si>
    <t>土地使用费</t>
    <phoneticPr fontId="2" type="noConversion"/>
  </si>
  <si>
    <t>项目建设有关费用</t>
    <phoneticPr fontId="2" type="noConversion"/>
  </si>
  <si>
    <t>5预备费</t>
    <phoneticPr fontId="2" type="noConversion"/>
  </si>
  <si>
    <t>绿岛车库建设投资财务模型</t>
    <phoneticPr fontId="2" type="noConversion"/>
  </si>
  <si>
    <t>绿岛车库运营收益与BOT-REITS收益模型</t>
    <phoneticPr fontId="2" type="noConversion"/>
  </si>
  <si>
    <t>1：本模型近采用了建设投资与运营收益的粗略估计，并没有严格按照3表做估值预测，比较适合综合ROE，对于IRR的正确预计应该回归三表。</t>
    <phoneticPr fontId="2" type="noConversion"/>
  </si>
  <si>
    <t>2：本模型一些数据值得进一步尽调确认：本地税率，建设以及运营期的债务计划（受否需要，债务策略如何), BOT年限，都是需要和本地确认的。</t>
    <phoneticPr fontId="2" type="noConversion"/>
  </si>
  <si>
    <t>3：建设投资根据国内大数据采集，具有代表性，考虑到本项目全国性开展，因此这部分数据适合全体。单独项目另有影响因素。</t>
    <phoneticPr fontId="2" type="noConversion"/>
  </si>
  <si>
    <t>4：本模型基于1万平米空地开挖建设1层车库为准，至于人防空间安置，不做细究，因为非战时人防可作为车库。</t>
    <phoneticPr fontId="2" type="noConversion"/>
  </si>
  <si>
    <t>6：基于4.5.以及国内大数据，我们预计车位率：25平米/车，则车位数量400辆车。</t>
    <phoneticPr fontId="2" type="noConversion"/>
  </si>
  <si>
    <t>5：此类项目适合整体装配式大跨度车库板结构，获得更优质的性价比。</t>
    <phoneticPr fontId="2" type="noConversion"/>
  </si>
  <si>
    <t>7：本项目目前地面车辆超1000辆，几乎都是占道停车，因此400辆的容量，停车率应该比较饱满。</t>
    <phoneticPr fontId="2" type="noConversion"/>
  </si>
  <si>
    <t>8：本样板项目的层数和面积，都是可以扩展的，但是小于5000平米的面积，车位率可能高达30平米/车。</t>
    <phoneticPr fontId="2" type="noConversion"/>
  </si>
  <si>
    <t>2设备购置费(元/平米）绿色科技引入</t>
    <phoneticPr fontId="2" type="noConversion"/>
  </si>
  <si>
    <t>1建安费 （元/平米）</t>
    <phoneticPr fontId="2" type="noConversion"/>
  </si>
  <si>
    <t>6建设期利息(已经合并入建安费）</t>
    <phoneticPr fontId="2" type="noConversion"/>
  </si>
  <si>
    <t>合计</t>
    <phoneticPr fontId="2" type="noConversion"/>
  </si>
  <si>
    <t>此后费用属于相关科目运维成本，每年涨1%</t>
    <phoneticPr fontId="2" type="noConversion"/>
  </si>
  <si>
    <t>预测值</t>
    <phoneticPr fontId="2" type="noConversion"/>
  </si>
  <si>
    <t>车位长租收入（200个)   元/天</t>
    <phoneticPr fontId="2" type="noConversion"/>
  </si>
  <si>
    <t>3工具，器具购置费(元/平米）</t>
    <phoneticPr fontId="2" type="noConversion"/>
  </si>
  <si>
    <t>临停车位收入 70% 出租率， 元/天</t>
    <phoneticPr fontId="2" type="noConversion"/>
  </si>
  <si>
    <t>储能充电系统场地租金收入</t>
    <phoneticPr fontId="2" type="noConversion"/>
  </si>
  <si>
    <t>长租缴费利息收入 利率</t>
    <phoneticPr fontId="2" type="noConversion"/>
  </si>
  <si>
    <t>营业收入合计</t>
    <phoneticPr fontId="2" type="noConversion"/>
  </si>
  <si>
    <t>增长率假设</t>
    <phoneticPr fontId="2" type="noConversion"/>
  </si>
  <si>
    <t>9：为观察储能充电系统营利性，可将场地出租给运营商，是否投资收购自运营，根据实际数据再做决定。</t>
    <phoneticPr fontId="2" type="noConversion"/>
  </si>
  <si>
    <t>绿岛车库投资财务模型说明</t>
    <phoneticPr fontId="2" type="noConversion"/>
  </si>
  <si>
    <t>洗车场租金收入 元/年</t>
    <phoneticPr fontId="2" type="noConversion"/>
  </si>
  <si>
    <t>管理费用 (保洁2，保安2）</t>
    <phoneticPr fontId="2" type="noConversion"/>
  </si>
  <si>
    <t>折旧和摊销 假设40年线性平均</t>
    <phoneticPr fontId="2" type="noConversion"/>
  </si>
  <si>
    <t>折旧与摊销</t>
    <phoneticPr fontId="2" type="noConversion"/>
  </si>
  <si>
    <t>XIRR 2023-2043</t>
    <phoneticPr fontId="2" type="noConversion"/>
  </si>
  <si>
    <t>ROE 2023-2043</t>
    <phoneticPr fontId="2" type="noConversion"/>
  </si>
  <si>
    <t>WACC</t>
    <phoneticPr fontId="2" type="noConversion"/>
  </si>
  <si>
    <t>基金价值 2023-2043</t>
    <phoneticPr fontId="2" type="noConversion"/>
  </si>
  <si>
    <t>项目资产组价值: 2023-2043</t>
    <phoneticPr fontId="2" type="noConversion"/>
  </si>
  <si>
    <t>Reits基金分派率预计（按照投资全部退出）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</si>
</sst>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0_ "/>
    <numFmt numFmtId="177" formatCode="#,##0.00_);[Red]\(#,##0.00\)"/>
    <numFmt numFmtId="179" formatCode="0_);[Red]\(0\)"/>
    <numFmt numFmtId="180" formatCode="#,##0.0_);\(#,##0.0\)"/>
    <numFmt numFmtId="181" formatCode="0.000%"/>
    <numFmt numFmtId="182" formatCode="#,##0.000_);\(#,##0.000\);#,##0.000_);@_)"/>
    <numFmt numFmtId="193" formatCode="#,##0_);\(#,##0\)"/>
  </numFmts>
  <fonts count="19" x14ac:knownFonts="1">
    <font>
      <sz val="11"/>
      <color theme="1"/>
      <name val="等线"/>
      <family val="2"/>
      <charset val="134"/>
      <scheme val="minor"/>
    </font>
    <font>
      <sz val="11"/>
      <color rgb="FFFF0000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2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color theme="5"/>
      <name val="等线"/>
      <family val="3"/>
      <charset val="134"/>
      <scheme val="minor"/>
    </font>
    <font>
      <b/>
      <sz val="11"/>
      <color theme="5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1"/>
      <color theme="5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20"/>
      <color theme="1"/>
      <name val="等线"/>
      <family val="3"/>
      <charset val="134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</font>
    <font>
      <b/>
      <sz val="9"/>
      <name val="宋体"/>
      <family val="2"/>
      <charset val="134"/>
    </font>
    <font>
      <sz val="9"/>
      <name val="宋体"/>
      <family val="2"/>
      <charset val="134"/>
    </font>
  </fonts>
  <fills count="1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/>
  </cellStyleXfs>
  <cellXfs count="147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2" borderId="0" xfId="0" applyFont="1" applyFill="1" applyBorder="1">
      <alignment vertical="center"/>
    </xf>
    <xf numFmtId="0" fontId="3" fillId="2" borderId="0" xfId="0" applyFont="1" applyFill="1" applyBorder="1" applyAlignment="1">
      <alignment horizontal="right" vertical="center"/>
    </xf>
    <xf numFmtId="4" fontId="0" fillId="0" borderId="0" xfId="0" applyNumberFormat="1" applyBorder="1">
      <alignment vertical="center"/>
    </xf>
    <xf numFmtId="0" fontId="0" fillId="3" borderId="0" xfId="0" applyFill="1" applyBorder="1">
      <alignment vertical="center"/>
    </xf>
    <xf numFmtId="4" fontId="0" fillId="3" borderId="0" xfId="0" applyNumberFormat="1" applyFill="1" applyBorder="1">
      <alignment vertical="center"/>
    </xf>
    <xf numFmtId="4" fontId="3" fillId="2" borderId="0" xfId="0" applyNumberFormat="1" applyFont="1" applyFill="1" applyBorder="1">
      <alignment vertical="center"/>
    </xf>
    <xf numFmtId="10" fontId="0" fillId="0" borderId="0" xfId="0" applyNumberFormat="1" applyBorder="1">
      <alignment vertical="center"/>
    </xf>
    <xf numFmtId="10" fontId="1" fillId="0" borderId="0" xfId="0" applyNumberFormat="1" applyFont="1" applyBorder="1">
      <alignment vertical="center"/>
    </xf>
    <xf numFmtId="0" fontId="0" fillId="2" borderId="0" xfId="0" applyFill="1" applyBorder="1">
      <alignment vertical="center"/>
    </xf>
    <xf numFmtId="4" fontId="0" fillId="0" borderId="0" xfId="0" applyNumberFormat="1">
      <alignment vertical="center"/>
    </xf>
    <xf numFmtId="0" fontId="3" fillId="0" borderId="0" xfId="0" applyFont="1">
      <alignment vertical="center"/>
    </xf>
    <xf numFmtId="4" fontId="3" fillId="0" borderId="0" xfId="0" applyNumberFormat="1" applyFont="1">
      <alignment vertical="center"/>
    </xf>
    <xf numFmtId="10" fontId="0" fillId="0" borderId="0" xfId="0" applyNumberFormat="1">
      <alignment vertical="center"/>
    </xf>
    <xf numFmtId="177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3" fillId="4" borderId="0" xfId="0" applyFont="1" applyFill="1">
      <alignment vertical="center"/>
    </xf>
    <xf numFmtId="4" fontId="3" fillId="4" borderId="0" xfId="0" applyNumberFormat="1" applyFont="1" applyFill="1">
      <alignment vertical="center"/>
    </xf>
    <xf numFmtId="0" fontId="0" fillId="4" borderId="0" xfId="0" applyFill="1">
      <alignment vertical="center"/>
    </xf>
    <xf numFmtId="4" fontId="0" fillId="4" borderId="0" xfId="0" applyNumberFormat="1" applyFill="1">
      <alignment vertical="center"/>
    </xf>
    <xf numFmtId="177" fontId="0" fillId="4" borderId="0" xfId="0" applyNumberFormat="1" applyFill="1">
      <alignment vertical="center"/>
    </xf>
    <xf numFmtId="0" fontId="7" fillId="4" borderId="0" xfId="0" applyFont="1" applyFill="1">
      <alignment vertical="center"/>
    </xf>
    <xf numFmtId="10" fontId="7" fillId="4" borderId="0" xfId="1" applyNumberFormat="1" applyFont="1" applyFill="1">
      <alignment vertical="center"/>
    </xf>
    <xf numFmtId="177" fontId="8" fillId="4" borderId="0" xfId="0" applyNumberFormat="1" applyFont="1" applyFill="1">
      <alignment vertical="center"/>
    </xf>
    <xf numFmtId="177" fontId="9" fillId="4" borderId="0" xfId="0" applyNumberFormat="1" applyFont="1" applyFill="1">
      <alignment vertical="center"/>
    </xf>
    <xf numFmtId="0" fontId="9" fillId="4" borderId="0" xfId="0" applyFont="1" applyFill="1">
      <alignment vertical="center"/>
    </xf>
    <xf numFmtId="10" fontId="10" fillId="4" borderId="0" xfId="0" applyNumberFormat="1" applyFont="1" applyFill="1">
      <alignment vertical="center"/>
    </xf>
    <xf numFmtId="10" fontId="8" fillId="4" borderId="0" xfId="0" applyNumberFormat="1" applyFont="1" applyFill="1">
      <alignment vertical="center"/>
    </xf>
    <xf numFmtId="10" fontId="8" fillId="0" borderId="0" xfId="0" applyNumberFormat="1" applyFont="1">
      <alignment vertical="center"/>
    </xf>
    <xf numFmtId="176" fontId="9" fillId="4" borderId="0" xfId="0" applyNumberFormat="1" applyFont="1" applyFill="1">
      <alignment vertical="center"/>
    </xf>
    <xf numFmtId="176" fontId="9" fillId="0" borderId="0" xfId="0" applyNumberFormat="1" applyFont="1">
      <alignment vertical="center"/>
    </xf>
    <xf numFmtId="10" fontId="0" fillId="4" borderId="0" xfId="0" applyNumberFormat="1" applyFill="1" applyAlignment="1">
      <alignment horizontal="center" vertical="center"/>
    </xf>
    <xf numFmtId="0" fontId="12" fillId="0" borderId="0" xfId="0" applyFont="1">
      <alignment vertical="center"/>
    </xf>
    <xf numFmtId="10" fontId="8" fillId="0" borderId="0" xfId="0" applyNumberFormat="1" applyFont="1" applyAlignment="1">
      <alignment horizontal="center" vertical="center"/>
    </xf>
    <xf numFmtId="0" fontId="3" fillId="0" borderId="0" xfId="0" applyFont="1" applyFill="1">
      <alignment vertical="center"/>
    </xf>
    <xf numFmtId="0" fontId="0" fillId="6" borderId="0" xfId="0" applyFill="1">
      <alignment vertical="center"/>
    </xf>
    <xf numFmtId="10" fontId="8" fillId="6" borderId="0" xfId="0" applyNumberFormat="1" applyFont="1" applyFill="1">
      <alignment vertical="center"/>
    </xf>
    <xf numFmtId="0" fontId="0" fillId="0" borderId="0" xfId="0" applyFill="1">
      <alignment vertical="center"/>
    </xf>
    <xf numFmtId="0" fontId="11" fillId="0" borderId="0" xfId="0" applyFont="1" applyFill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4" fontId="3" fillId="4" borderId="2" xfId="0" applyNumberFormat="1" applyFont="1" applyFill="1" applyBorder="1">
      <alignment vertical="center"/>
    </xf>
    <xf numFmtId="4" fontId="3" fillId="4" borderId="3" xfId="0" applyNumberFormat="1" applyFont="1" applyFill="1" applyBorder="1">
      <alignment vertical="center"/>
    </xf>
    <xf numFmtId="4" fontId="0" fillId="0" borderId="2" xfId="0" applyNumberFormat="1" applyBorder="1">
      <alignment vertical="center"/>
    </xf>
    <xf numFmtId="4" fontId="0" fillId="0" borderId="3" xfId="0" applyNumberFormat="1" applyFill="1" applyBorder="1">
      <alignment vertical="center"/>
    </xf>
    <xf numFmtId="4" fontId="0" fillId="4" borderId="2" xfId="0" applyNumberFormat="1" applyFill="1" applyBorder="1">
      <alignment vertical="center"/>
    </xf>
    <xf numFmtId="4" fontId="0" fillId="4" borderId="3" xfId="0" applyNumberForma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4" fontId="3" fillId="0" borderId="2" xfId="0" applyNumberFormat="1" applyFont="1" applyBorder="1">
      <alignment vertical="center"/>
    </xf>
    <xf numFmtId="4" fontId="3" fillId="0" borderId="3" xfId="0" applyNumberFormat="1" applyFont="1" applyFill="1" applyBorder="1">
      <alignment vertical="center"/>
    </xf>
    <xf numFmtId="10" fontId="7" fillId="4" borderId="2" xfId="1" applyNumberFormat="1" applyFont="1" applyFill="1" applyBorder="1">
      <alignment vertical="center"/>
    </xf>
    <xf numFmtId="10" fontId="7" fillId="4" borderId="3" xfId="1" applyNumberFormat="1" applyFont="1" applyFill="1" applyBorder="1">
      <alignment vertical="center"/>
    </xf>
    <xf numFmtId="0" fontId="0" fillId="0" borderId="2" xfId="0" applyBorder="1">
      <alignment vertical="center"/>
    </xf>
    <xf numFmtId="0" fontId="0" fillId="0" borderId="3" xfId="0" applyFill="1" applyBorder="1">
      <alignment vertical="center"/>
    </xf>
    <xf numFmtId="0" fontId="14" fillId="7" borderId="2" xfId="2" applyFont="1" applyFill="1" applyBorder="1"/>
    <xf numFmtId="0" fontId="15" fillId="7" borderId="0" xfId="2" applyFont="1" applyFill="1"/>
    <xf numFmtId="37" fontId="15" fillId="7" borderId="3" xfId="2" applyNumberFormat="1" applyFont="1" applyFill="1" applyBorder="1"/>
    <xf numFmtId="0" fontId="15" fillId="7" borderId="2" xfId="2" applyFont="1" applyFill="1" applyBorder="1" applyAlignment="1">
      <alignment horizontal="left"/>
    </xf>
    <xf numFmtId="38" fontId="15" fillId="7" borderId="3" xfId="2" applyNumberFormat="1" applyFont="1" applyFill="1" applyBorder="1"/>
    <xf numFmtId="10" fontId="15" fillId="7" borderId="0" xfId="2" applyNumberFormat="1" applyFont="1" applyFill="1"/>
    <xf numFmtId="0" fontId="15" fillId="7" borderId="2" xfId="2" applyFont="1" applyFill="1" applyBorder="1"/>
    <xf numFmtId="0" fontId="15" fillId="7" borderId="3" xfId="2" applyFont="1" applyFill="1" applyBorder="1"/>
    <xf numFmtId="0" fontId="14" fillId="7" borderId="4" xfId="2" applyFont="1" applyFill="1" applyBorder="1"/>
    <xf numFmtId="0" fontId="15" fillId="7" borderId="9" xfId="2" applyFont="1" applyFill="1" applyBorder="1"/>
    <xf numFmtId="10" fontId="14" fillId="7" borderId="9" xfId="2" applyNumberFormat="1" applyFont="1" applyFill="1" applyBorder="1"/>
    <xf numFmtId="0" fontId="15" fillId="7" borderId="5" xfId="2" applyFont="1" applyFill="1" applyBorder="1"/>
    <xf numFmtId="181" fontId="15" fillId="7" borderId="0" xfId="2" applyNumberFormat="1" applyFont="1" applyFill="1"/>
    <xf numFmtId="0" fontId="15" fillId="7" borderId="4" xfId="2" applyFont="1" applyFill="1" applyBorder="1"/>
    <xf numFmtId="0" fontId="15" fillId="0" borderId="0" xfId="2" applyFont="1"/>
    <xf numFmtId="182" fontId="15" fillId="7" borderId="0" xfId="2" applyNumberFormat="1" applyFont="1" applyFill="1"/>
    <xf numFmtId="0" fontId="14" fillId="8" borderId="6" xfId="2" applyFont="1" applyFill="1" applyBorder="1"/>
    <xf numFmtId="0" fontId="15" fillId="8" borderId="7" xfId="2" applyFont="1" applyFill="1" applyBorder="1"/>
    <xf numFmtId="0" fontId="15" fillId="8" borderId="8" xfId="2" applyFont="1" applyFill="1" applyBorder="1"/>
    <xf numFmtId="0" fontId="15" fillId="9" borderId="2" xfId="2" applyFont="1" applyFill="1" applyBorder="1" applyAlignment="1">
      <alignment horizontal="left"/>
    </xf>
    <xf numFmtId="0" fontId="15" fillId="9" borderId="0" xfId="2" applyFont="1" applyFill="1"/>
    <xf numFmtId="10" fontId="15" fillId="9" borderId="0" xfId="2" applyNumberFormat="1" applyFont="1" applyFill="1"/>
    <xf numFmtId="10" fontId="15" fillId="9" borderId="3" xfId="2" applyNumberFormat="1" applyFont="1" applyFill="1" applyBorder="1"/>
    <xf numFmtId="0" fontId="14" fillId="9" borderId="2" xfId="2" applyFont="1" applyFill="1" applyBorder="1"/>
    <xf numFmtId="180" fontId="15" fillId="9" borderId="3" xfId="2" applyNumberFormat="1" applyFont="1" applyFill="1" applyBorder="1"/>
    <xf numFmtId="0" fontId="15" fillId="9" borderId="2" xfId="2" applyFont="1" applyFill="1" applyBorder="1"/>
    <xf numFmtId="0" fontId="15" fillId="9" borderId="3" xfId="2" applyFont="1" applyFill="1" applyBorder="1"/>
    <xf numFmtId="4" fontId="3" fillId="0" borderId="0" xfId="0" applyNumberFormat="1" applyFont="1" applyFill="1" applyBorder="1">
      <alignment vertical="center"/>
    </xf>
    <xf numFmtId="4" fontId="0" fillId="0" borderId="0" xfId="0" applyNumberFormat="1" applyFill="1" applyBorder="1">
      <alignment vertical="center"/>
    </xf>
    <xf numFmtId="4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9" borderId="0" xfId="0" applyNumberFormat="1" applyFill="1" applyBorder="1">
      <alignment vertical="center"/>
    </xf>
    <xf numFmtId="2" fontId="0" fillId="9" borderId="3" xfId="0" applyNumberFormat="1" applyFill="1" applyBorder="1">
      <alignment vertical="center"/>
    </xf>
    <xf numFmtId="9" fontId="0" fillId="0" borderId="0" xfId="0" applyNumberFormat="1" applyBorder="1">
      <alignment vertical="center"/>
    </xf>
    <xf numFmtId="2" fontId="0" fillId="0" borderId="0" xfId="0" applyNumberFormat="1" applyBorder="1">
      <alignment vertical="center"/>
    </xf>
    <xf numFmtId="2" fontId="0" fillId="0" borderId="3" xfId="0" applyNumberFormat="1" applyBorder="1">
      <alignment vertical="center"/>
    </xf>
    <xf numFmtId="9" fontId="0" fillId="9" borderId="0" xfId="0" applyNumberFormat="1" applyFill="1" applyBorder="1">
      <alignment vertical="center"/>
    </xf>
    <xf numFmtId="9" fontId="0" fillId="0" borderId="9" xfId="0" applyNumberFormat="1" applyBorder="1">
      <alignment vertical="center"/>
    </xf>
    <xf numFmtId="2" fontId="0" fillId="0" borderId="9" xfId="0" applyNumberFormat="1" applyBorder="1">
      <alignment vertical="center"/>
    </xf>
    <xf numFmtId="2" fontId="0" fillId="0" borderId="5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Fill="1" applyBorder="1">
      <alignment vertical="center"/>
    </xf>
    <xf numFmtId="0" fontId="0" fillId="0" borderId="9" xfId="0" applyFill="1" applyBorder="1">
      <alignment vertical="center"/>
    </xf>
    <xf numFmtId="2" fontId="0" fillId="0" borderId="9" xfId="0" applyNumberFormat="1" applyFill="1" applyBorder="1">
      <alignment vertical="center"/>
    </xf>
    <xf numFmtId="2" fontId="0" fillId="0" borderId="5" xfId="0" applyNumberFormat="1" applyFill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horizontal="center" vertical="center" wrapText="1"/>
    </xf>
    <xf numFmtId="14" fontId="0" fillId="6" borderId="0" xfId="0" applyNumberFormat="1" applyFill="1" applyAlignment="1">
      <alignment horizontal="center" vertical="center"/>
    </xf>
    <xf numFmtId="20" fontId="0" fillId="0" borderId="0" xfId="0" applyNumberFormat="1">
      <alignment vertical="center"/>
    </xf>
    <xf numFmtId="9" fontId="0" fillId="0" borderId="0" xfId="0" applyNumberFormat="1">
      <alignment vertical="center"/>
    </xf>
    <xf numFmtId="179" fontId="3" fillId="4" borderId="0" xfId="0" applyNumberFormat="1" applyFont="1" applyFill="1">
      <alignment vertical="center"/>
    </xf>
    <xf numFmtId="1" fontId="0" fillId="4" borderId="0" xfId="0" applyNumberFormat="1" applyFill="1">
      <alignment vertical="center"/>
    </xf>
    <xf numFmtId="0" fontId="0" fillId="0" borderId="0" xfId="0" applyAlignment="1">
      <alignment horizontal="center" vertical="center" wrapText="1"/>
    </xf>
    <xf numFmtId="1" fontId="0" fillId="0" borderId="0" xfId="0" applyNumberFormat="1">
      <alignment vertical="center"/>
    </xf>
    <xf numFmtId="10" fontId="3" fillId="0" borderId="0" xfId="0" applyNumberFormat="1" applyFont="1" applyAlignment="1">
      <alignment horizontal="center" vertical="center"/>
    </xf>
    <xf numFmtId="10" fontId="3" fillId="5" borderId="0" xfId="0" applyNumberFormat="1" applyFont="1" applyFill="1" applyAlignment="1">
      <alignment horizontal="center" vertical="center"/>
    </xf>
    <xf numFmtId="179" fontId="3" fillId="5" borderId="0" xfId="0" applyNumberFormat="1" applyFont="1" applyFill="1" applyAlignment="1">
      <alignment horizontal="center" vertical="center"/>
    </xf>
    <xf numFmtId="10" fontId="8" fillId="6" borderId="0" xfId="0" applyNumberFormat="1" applyFont="1" applyFill="1" applyAlignment="1">
      <alignment horizontal="center" vertical="center"/>
    </xf>
    <xf numFmtId="10" fontId="8" fillId="5" borderId="0" xfId="0" applyNumberFormat="1" applyFont="1" applyFill="1" applyAlignment="1">
      <alignment horizontal="center" vertical="center"/>
    </xf>
    <xf numFmtId="3" fontId="3" fillId="4" borderId="0" xfId="0" applyNumberFormat="1" applyFont="1" applyFill="1">
      <alignment vertical="center"/>
    </xf>
    <xf numFmtId="9" fontId="0" fillId="0" borderId="0" xfId="0" applyNumberFormat="1" applyAlignment="1">
      <alignment horizontal="center" vertical="center"/>
    </xf>
    <xf numFmtId="3" fontId="0" fillId="0" borderId="0" xfId="0" applyNumberFormat="1">
      <alignment vertical="center"/>
    </xf>
    <xf numFmtId="3" fontId="0" fillId="0" borderId="2" xfId="0" applyNumberFormat="1" applyBorder="1">
      <alignment vertical="center"/>
    </xf>
    <xf numFmtId="10" fontId="3" fillId="4" borderId="0" xfId="0" applyNumberFormat="1" applyFont="1" applyFill="1" applyAlignment="1">
      <alignment horizontal="center" vertical="center"/>
    </xf>
    <xf numFmtId="3" fontId="0" fillId="4" borderId="0" xfId="0" applyNumberFormat="1" applyFill="1">
      <alignment vertical="center"/>
    </xf>
    <xf numFmtId="0" fontId="11" fillId="7" borderId="0" xfId="0" applyFont="1" applyFill="1">
      <alignment vertical="center"/>
    </xf>
    <xf numFmtId="179" fontId="11" fillId="10" borderId="0" xfId="0" applyNumberFormat="1" applyFont="1" applyFill="1" applyAlignment="1">
      <alignment horizontal="center" vertical="center"/>
    </xf>
    <xf numFmtId="3" fontId="11" fillId="7" borderId="0" xfId="0" applyNumberFormat="1" applyFont="1" applyFill="1">
      <alignment vertical="center"/>
    </xf>
    <xf numFmtId="10" fontId="11" fillId="5" borderId="0" xfId="0" applyNumberFormat="1" applyFont="1" applyFill="1" applyAlignment="1">
      <alignment horizontal="center" vertical="center"/>
    </xf>
    <xf numFmtId="0" fontId="11" fillId="4" borderId="0" xfId="0" applyFont="1" applyFill="1">
      <alignment vertical="center"/>
    </xf>
    <xf numFmtId="3" fontId="11" fillId="4" borderId="0" xfId="0" applyNumberFormat="1" applyFont="1" applyFill="1">
      <alignment vertical="center"/>
    </xf>
    <xf numFmtId="0" fontId="11" fillId="0" borderId="0" xfId="0" applyFont="1">
      <alignment vertical="center"/>
    </xf>
    <xf numFmtId="179" fontId="11" fillId="5" borderId="0" xfId="0" applyNumberFormat="1" applyFont="1" applyFill="1" applyAlignment="1">
      <alignment horizontal="center" vertical="center"/>
    </xf>
    <xf numFmtId="3" fontId="3" fillId="0" borderId="0" xfId="0" applyNumberFormat="1" applyFont="1">
      <alignment vertical="center"/>
    </xf>
    <xf numFmtId="179" fontId="8" fillId="0" borderId="0" xfId="0" applyNumberFormat="1" applyFont="1" applyAlignment="1">
      <alignment horizontal="center" vertical="center"/>
    </xf>
    <xf numFmtId="10" fontId="0" fillId="4" borderId="0" xfId="0" applyNumberFormat="1" applyFill="1">
      <alignment vertical="center"/>
    </xf>
    <xf numFmtId="3" fontId="0" fillId="0" borderId="0" xfId="0" applyNumberFormat="1" applyFill="1">
      <alignment vertical="center"/>
    </xf>
    <xf numFmtId="3" fontId="0" fillId="0" borderId="2" xfId="0" applyNumberFormat="1" applyFill="1" applyBorder="1">
      <alignment vertical="center"/>
    </xf>
    <xf numFmtId="10" fontId="3" fillId="0" borderId="0" xfId="0" applyNumberFormat="1" applyFont="1" applyFill="1" applyAlignment="1">
      <alignment horizontal="center" vertical="center"/>
    </xf>
    <xf numFmtId="1" fontId="0" fillId="4" borderId="0" xfId="0" applyNumberFormat="1" applyFill="1" applyAlignment="1">
      <alignment horizontal="right" vertical="center"/>
    </xf>
    <xf numFmtId="193" fontId="3" fillId="0" borderId="0" xfId="0" applyNumberFormat="1" applyFont="1" applyFill="1" applyAlignment="1">
      <alignment horizontal="center" vertical="center"/>
    </xf>
    <xf numFmtId="3" fontId="0" fillId="0" borderId="0" xfId="0" applyNumberFormat="1" applyFill="1" applyAlignment="1">
      <alignment horizontal="right" vertical="center"/>
    </xf>
  </cellXfs>
  <cellStyles count="3">
    <cellStyle name="Normal 2" xfId="2" xr:uid="{9B7AAA4A-011A-4D32-84BA-40F625C62C54}"/>
    <cellStyle name="百分比" xfId="1" builtinId="5"/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7F4D-F370-4D43-A414-F2996D9045D5}">
  <dimension ref="B2:F23"/>
  <sheetViews>
    <sheetView showGridLines="0" topLeftCell="A7" workbookViewId="0">
      <selection activeCell="B21" sqref="B21"/>
    </sheetView>
  </sheetViews>
  <sheetFormatPr defaultRowHeight="13.8" x14ac:dyDescent="0.25"/>
  <cols>
    <col min="1" max="1" width="8.88671875" style="1"/>
    <col min="2" max="2" width="18.77734375" style="1" customWidth="1"/>
    <col min="3" max="3" width="13.33203125" style="1" customWidth="1"/>
    <col min="4" max="4" width="13.5546875" style="1" customWidth="1"/>
    <col min="5" max="5" width="14.21875" style="1" customWidth="1"/>
    <col min="6" max="6" width="13.109375" style="1" customWidth="1"/>
    <col min="7" max="16384" width="8.88671875" style="1"/>
  </cols>
  <sheetData>
    <row r="2" spans="2:6" x14ac:dyDescent="0.25">
      <c r="B2" s="1" t="s">
        <v>18</v>
      </c>
      <c r="E2" s="110" t="s">
        <v>19</v>
      </c>
      <c r="F2" s="110"/>
    </row>
    <row r="3" spans="2:6" x14ac:dyDescent="0.25">
      <c r="B3" s="2" t="s">
        <v>0</v>
      </c>
      <c r="C3" s="3" t="s">
        <v>11</v>
      </c>
      <c r="D3" s="3" t="s">
        <v>12</v>
      </c>
      <c r="E3" s="3" t="s">
        <v>13</v>
      </c>
      <c r="F3" s="3" t="s">
        <v>14</v>
      </c>
    </row>
    <row r="4" spans="2:6" x14ac:dyDescent="0.25">
      <c r="B4" s="1" t="s">
        <v>1</v>
      </c>
      <c r="C4" s="1">
        <v>556.41</v>
      </c>
      <c r="D4" s="1">
        <v>484.61</v>
      </c>
      <c r="E4" s="1">
        <v>753.84</v>
      </c>
      <c r="F4" s="4">
        <v>4480.99</v>
      </c>
    </row>
    <row r="5" spans="2:6" x14ac:dyDescent="0.25">
      <c r="B5" s="5" t="s">
        <v>2</v>
      </c>
      <c r="C5" s="5">
        <v>6.87</v>
      </c>
      <c r="D5" s="5">
        <v>12.01</v>
      </c>
      <c r="E5" s="5">
        <v>8.06</v>
      </c>
      <c r="F5" s="5">
        <v>43.96</v>
      </c>
    </row>
    <row r="6" spans="2:6" x14ac:dyDescent="0.25">
      <c r="B6" s="1" t="s">
        <v>3</v>
      </c>
      <c r="C6" s="1">
        <v>6.87</v>
      </c>
      <c r="D6" s="1">
        <v>12.01</v>
      </c>
      <c r="E6" s="1">
        <v>8.06</v>
      </c>
      <c r="F6" s="1">
        <v>43.96</v>
      </c>
    </row>
    <row r="7" spans="2:6" x14ac:dyDescent="0.25">
      <c r="B7" s="5" t="s">
        <v>4</v>
      </c>
      <c r="C7" s="6">
        <v>24700.27</v>
      </c>
      <c r="D7" s="6">
        <v>22308.16</v>
      </c>
      <c r="E7" s="6">
        <v>24377.97</v>
      </c>
      <c r="F7" s="6">
        <v>98678.64</v>
      </c>
    </row>
    <row r="8" spans="2:6" x14ac:dyDescent="0.25">
      <c r="B8" s="1" t="s">
        <v>5</v>
      </c>
      <c r="C8" s="4">
        <v>24700.27</v>
      </c>
      <c r="D8" s="4">
        <v>22308.16</v>
      </c>
      <c r="E8" s="4">
        <v>24377.97</v>
      </c>
      <c r="F8" s="4">
        <v>98678.64</v>
      </c>
    </row>
    <row r="9" spans="2:6" x14ac:dyDescent="0.25">
      <c r="B9" s="5" t="s">
        <v>6</v>
      </c>
      <c r="C9" s="5">
        <v>73.8</v>
      </c>
      <c r="D9" s="5">
        <v>16.84</v>
      </c>
      <c r="E9" s="5">
        <v>90.81</v>
      </c>
      <c r="F9" s="5">
        <v>19.190000000000001</v>
      </c>
    </row>
    <row r="10" spans="2:6" x14ac:dyDescent="0.25">
      <c r="B10" s="1" t="s">
        <v>7</v>
      </c>
      <c r="C10" s="4">
        <v>25337.35</v>
      </c>
      <c r="D10" s="4">
        <v>22821.62</v>
      </c>
      <c r="E10" s="4">
        <v>25230.68</v>
      </c>
      <c r="F10" s="4">
        <v>103222.77</v>
      </c>
    </row>
    <row r="11" spans="2:6" x14ac:dyDescent="0.25">
      <c r="B11" s="5" t="s">
        <v>8</v>
      </c>
      <c r="C11" s="6">
        <v>2194.35</v>
      </c>
      <c r="D11" s="6">
        <v>1077.82</v>
      </c>
      <c r="E11" s="6">
        <v>2244.81</v>
      </c>
      <c r="F11" s="6">
        <v>2252.27</v>
      </c>
    </row>
    <row r="12" spans="2:6" x14ac:dyDescent="0.25">
      <c r="B12" s="1" t="s">
        <v>9</v>
      </c>
      <c r="C12" s="4">
        <v>2194.35</v>
      </c>
      <c r="D12" s="4">
        <v>1077.82</v>
      </c>
      <c r="E12" s="4">
        <v>2244.81</v>
      </c>
      <c r="F12" s="4">
        <v>2252.27</v>
      </c>
    </row>
    <row r="13" spans="2:6" x14ac:dyDescent="0.25">
      <c r="B13" s="5" t="s">
        <v>10</v>
      </c>
      <c r="C13" s="6">
        <v>23143</v>
      </c>
      <c r="D13" s="6">
        <v>21743.79</v>
      </c>
      <c r="E13" s="6">
        <v>22985.86</v>
      </c>
      <c r="F13" s="6">
        <v>100970.5</v>
      </c>
    </row>
    <row r="14" spans="2:6" x14ac:dyDescent="0.25">
      <c r="B14" s="2" t="s">
        <v>15</v>
      </c>
      <c r="C14" s="7">
        <v>26400</v>
      </c>
      <c r="D14" s="7">
        <v>25500</v>
      </c>
      <c r="E14" s="7">
        <v>29800</v>
      </c>
      <c r="F14" s="7">
        <v>92900</v>
      </c>
    </row>
    <row r="15" spans="2:6" x14ac:dyDescent="0.25">
      <c r="B15" s="1" t="s">
        <v>16</v>
      </c>
      <c r="C15" s="8">
        <v>0.14069999999999999</v>
      </c>
      <c r="D15" s="8">
        <v>0.17269999999999999</v>
      </c>
      <c r="E15" s="8">
        <v>0.2964</v>
      </c>
      <c r="F15" s="9">
        <v>-7.9899999999999999E-2</v>
      </c>
    </row>
    <row r="16" spans="2:6" x14ac:dyDescent="0.25">
      <c r="B16" s="10" t="s">
        <v>17</v>
      </c>
      <c r="C16" s="109">
        <f>SUM(C14:F14)</f>
        <v>174600</v>
      </c>
      <c r="D16" s="109"/>
      <c r="E16" s="109"/>
      <c r="F16" s="109"/>
    </row>
    <row r="18" spans="2:3" x14ac:dyDescent="0.25">
      <c r="B18" s="1" t="s">
        <v>20</v>
      </c>
    </row>
    <row r="19" spans="2:3" x14ac:dyDescent="0.25">
      <c r="B19" s="1" t="s">
        <v>24</v>
      </c>
      <c r="C19" s="4">
        <v>15528.63</v>
      </c>
    </row>
    <row r="20" spans="2:3" x14ac:dyDescent="0.25">
      <c r="B20" s="1" t="s">
        <v>25</v>
      </c>
      <c r="C20" s="4">
        <v>107536.52</v>
      </c>
    </row>
    <row r="21" spans="2:3" x14ac:dyDescent="0.25">
      <c r="B21" s="1" t="s">
        <v>21</v>
      </c>
    </row>
    <row r="22" spans="2:3" x14ac:dyDescent="0.25">
      <c r="B22" s="1" t="s">
        <v>22</v>
      </c>
    </row>
    <row r="23" spans="2:3" x14ac:dyDescent="0.25">
      <c r="B23" s="1" t="s">
        <v>23</v>
      </c>
    </row>
  </sheetData>
  <mergeCells count="2">
    <mergeCell ref="C16:F16"/>
    <mergeCell ref="E2:F2"/>
  </mergeCells>
  <phoneticPr fontId="2" type="noConversion"/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EC309-3F78-49FE-8DBD-4458C445645C}">
  <dimension ref="B1:AG93"/>
  <sheetViews>
    <sheetView tabSelected="1" topLeftCell="A62" zoomScale="115" zoomScaleNormal="115" workbookViewId="0">
      <selection activeCell="H72" sqref="H72"/>
    </sheetView>
  </sheetViews>
  <sheetFormatPr defaultRowHeight="13.8" x14ac:dyDescent="0.25"/>
  <cols>
    <col min="2" max="2" width="42.6640625" customWidth="1"/>
    <col min="3" max="3" width="18.5546875" style="30" bestFit="1" customWidth="1"/>
    <col min="4" max="4" width="14.6640625" bestFit="1" customWidth="1"/>
    <col min="5" max="5" width="16" bestFit="1" customWidth="1"/>
    <col min="6" max="6" width="19" bestFit="1" customWidth="1"/>
    <col min="7" max="7" width="17.88671875" customWidth="1"/>
    <col min="8" max="8" width="17.5546875" bestFit="1" customWidth="1"/>
    <col min="9" max="9" width="17.5546875" style="15" bestFit="1" customWidth="1"/>
    <col min="10" max="33" width="17.5546875" bestFit="1" customWidth="1"/>
  </cols>
  <sheetData>
    <row r="1" spans="2:33" ht="25.2" x14ac:dyDescent="0.25">
      <c r="B1" s="34" t="s">
        <v>107</v>
      </c>
    </row>
    <row r="2" spans="2:33" x14ac:dyDescent="0.25">
      <c r="B2" t="s">
        <v>85</v>
      </c>
    </row>
    <row r="3" spans="2:33" x14ac:dyDescent="0.25">
      <c r="B3" t="s">
        <v>86</v>
      </c>
    </row>
    <row r="4" spans="2:33" x14ac:dyDescent="0.25">
      <c r="B4" t="s">
        <v>87</v>
      </c>
    </row>
    <row r="5" spans="2:33" x14ac:dyDescent="0.25">
      <c r="B5" t="s">
        <v>88</v>
      </c>
    </row>
    <row r="6" spans="2:33" x14ac:dyDescent="0.25">
      <c r="B6" s="113" t="s">
        <v>90</v>
      </c>
    </row>
    <row r="7" spans="2:33" x14ac:dyDescent="0.25">
      <c r="B7" t="s">
        <v>89</v>
      </c>
    </row>
    <row r="8" spans="2:33" x14ac:dyDescent="0.25">
      <c r="B8" t="s">
        <v>91</v>
      </c>
    </row>
    <row r="9" spans="2:33" x14ac:dyDescent="0.25">
      <c r="B9" t="s">
        <v>92</v>
      </c>
    </row>
    <row r="10" spans="2:33" x14ac:dyDescent="0.25">
      <c r="B10" t="s">
        <v>106</v>
      </c>
    </row>
    <row r="13" spans="2:33" ht="41.4" x14ac:dyDescent="0.25">
      <c r="B13" s="34" t="s">
        <v>83</v>
      </c>
      <c r="D13" s="114">
        <v>0.7</v>
      </c>
      <c r="E13" s="114">
        <v>0.2</v>
      </c>
      <c r="F13" s="114">
        <v>0.1</v>
      </c>
      <c r="G13" s="117" t="s">
        <v>97</v>
      </c>
      <c r="H13" s="114">
        <v>0.01</v>
      </c>
    </row>
    <row r="14" spans="2:33" x14ac:dyDescent="0.25">
      <c r="B14" s="37"/>
      <c r="C14" s="38"/>
      <c r="D14" s="112">
        <f>DATE(2023,1,1)</f>
        <v>44927</v>
      </c>
      <c r="E14" s="112">
        <f>DATE(YEAR(D14)+1,MONTH(D14),DAY(D14))</f>
        <v>45292</v>
      </c>
      <c r="F14" s="112">
        <f t="shared" ref="F14:AG14" si="0">DATE(YEAR(E14)+1,MONTH(E14),DAY(E14))</f>
        <v>45658</v>
      </c>
      <c r="G14" s="112">
        <f t="shared" si="0"/>
        <v>46023</v>
      </c>
      <c r="H14" s="112">
        <f t="shared" si="0"/>
        <v>46388</v>
      </c>
      <c r="I14" s="112">
        <f t="shared" si="0"/>
        <v>46753</v>
      </c>
      <c r="J14" s="112">
        <f t="shared" si="0"/>
        <v>47119</v>
      </c>
      <c r="K14" s="112">
        <f t="shared" si="0"/>
        <v>47484</v>
      </c>
      <c r="L14" s="112">
        <f t="shared" si="0"/>
        <v>47849</v>
      </c>
      <c r="M14" s="112">
        <f>DATE(YEAR(L14)+1,MONTH(L14),DAY(L14))</f>
        <v>48214</v>
      </c>
      <c r="N14" s="112">
        <f t="shared" si="0"/>
        <v>48580</v>
      </c>
      <c r="O14" s="112">
        <f t="shared" si="0"/>
        <v>48945</v>
      </c>
      <c r="P14" s="112">
        <f t="shared" si="0"/>
        <v>49310</v>
      </c>
      <c r="Q14" s="112">
        <f t="shared" si="0"/>
        <v>49675</v>
      </c>
      <c r="R14" s="112">
        <f t="shared" si="0"/>
        <v>50041</v>
      </c>
      <c r="S14" s="112">
        <f t="shared" si="0"/>
        <v>50406</v>
      </c>
      <c r="T14" s="112">
        <f>DATE(YEAR(S14)+1,MONTH(S14),DAY(S14))</f>
        <v>50771</v>
      </c>
      <c r="U14" s="112">
        <f t="shared" si="0"/>
        <v>51136</v>
      </c>
      <c r="V14" s="112">
        <f t="shared" si="0"/>
        <v>51502</v>
      </c>
      <c r="W14" s="112">
        <f t="shared" si="0"/>
        <v>51867</v>
      </c>
      <c r="X14" s="112">
        <f t="shared" si="0"/>
        <v>52232</v>
      </c>
      <c r="Y14" s="112">
        <f t="shared" si="0"/>
        <v>52597</v>
      </c>
      <c r="Z14" s="112">
        <f t="shared" si="0"/>
        <v>52963</v>
      </c>
      <c r="AA14" s="112">
        <f>DATE(YEAR(Z14)+1,MONTH(Z14),DAY(Z14))</f>
        <v>53328</v>
      </c>
      <c r="AB14" s="112">
        <f t="shared" si="0"/>
        <v>53693</v>
      </c>
      <c r="AC14" s="112">
        <f t="shared" si="0"/>
        <v>54058</v>
      </c>
      <c r="AD14" s="112">
        <f t="shared" si="0"/>
        <v>54424</v>
      </c>
      <c r="AE14" s="112">
        <f t="shared" si="0"/>
        <v>54789</v>
      </c>
      <c r="AF14" s="112">
        <f t="shared" si="0"/>
        <v>55154</v>
      </c>
      <c r="AG14" s="112">
        <f t="shared" si="0"/>
        <v>55519</v>
      </c>
    </row>
    <row r="15" spans="2:33" s="16" customFormat="1" x14ac:dyDescent="0.25">
      <c r="C15" s="120" t="s">
        <v>98</v>
      </c>
      <c r="D15" s="16" t="s">
        <v>77</v>
      </c>
      <c r="E15" s="16" t="str">
        <f>D15</f>
        <v>预测</v>
      </c>
      <c r="F15" s="16" t="str">
        <f>E15</f>
        <v>预测</v>
      </c>
      <c r="G15" s="41" t="s">
        <v>27</v>
      </c>
      <c r="H15" s="42" t="s">
        <v>28</v>
      </c>
      <c r="I15" s="17" t="str">
        <f>H15</f>
        <v xml:space="preserve"> 预测数</v>
      </c>
      <c r="J15" s="17" t="str">
        <f t="shared" ref="J15" si="1">I15</f>
        <v xml:space="preserve"> 预测数</v>
      </c>
      <c r="K15" s="17" t="str">
        <f t="shared" ref="K15" si="2">J15</f>
        <v xml:space="preserve"> 预测数</v>
      </c>
      <c r="L15" s="17" t="str">
        <f t="shared" ref="L15" si="3">K15</f>
        <v xml:space="preserve"> 预测数</v>
      </c>
      <c r="M15" s="17" t="str">
        <f t="shared" ref="M15" si="4">L15</f>
        <v xml:space="preserve"> 预测数</v>
      </c>
      <c r="N15" s="17" t="str">
        <f t="shared" ref="N15" si="5">M15</f>
        <v xml:space="preserve"> 预测数</v>
      </c>
      <c r="O15" s="17" t="str">
        <f t="shared" ref="O15" si="6">N15</f>
        <v xml:space="preserve"> 预测数</v>
      </c>
      <c r="P15" s="17" t="str">
        <f t="shared" ref="P15" si="7">O15</f>
        <v xml:space="preserve"> 预测数</v>
      </c>
      <c r="Q15" s="17" t="str">
        <f t="shared" ref="Q15" si="8">P15</f>
        <v xml:space="preserve"> 预测数</v>
      </c>
      <c r="R15" s="17" t="str">
        <f t="shared" ref="R15" si="9">Q15</f>
        <v xml:space="preserve"> 预测数</v>
      </c>
      <c r="S15" s="17" t="str">
        <f t="shared" ref="S15" si="10">R15</f>
        <v xml:space="preserve"> 预测数</v>
      </c>
      <c r="T15" s="17" t="str">
        <f t="shared" ref="T15" si="11">S15</f>
        <v xml:space="preserve"> 预测数</v>
      </c>
      <c r="U15" s="17" t="str">
        <f t="shared" ref="U15" si="12">T15</f>
        <v xml:space="preserve"> 预测数</v>
      </c>
      <c r="V15" s="17" t="str">
        <f t="shared" ref="V15" si="13">U15</f>
        <v xml:space="preserve"> 预测数</v>
      </c>
      <c r="W15" s="17" t="str">
        <f t="shared" ref="W15" si="14">V15</f>
        <v xml:space="preserve"> 预测数</v>
      </c>
      <c r="X15" s="17" t="str">
        <f t="shared" ref="X15" si="15">W15</f>
        <v xml:space="preserve"> 预测数</v>
      </c>
      <c r="Y15" s="17" t="str">
        <f t="shared" ref="Y15" si="16">X15</f>
        <v xml:space="preserve"> 预测数</v>
      </c>
      <c r="Z15" s="17" t="str">
        <f t="shared" ref="Z15" si="17">Y15</f>
        <v xml:space="preserve"> 预测数</v>
      </c>
      <c r="AA15" s="17" t="str">
        <f t="shared" ref="AA15" si="18">Z15</f>
        <v xml:space="preserve"> 预测数</v>
      </c>
      <c r="AB15" s="17" t="str">
        <f t="shared" ref="AB15" si="19">AA15</f>
        <v xml:space="preserve"> 预测数</v>
      </c>
      <c r="AC15" s="17" t="str">
        <f t="shared" ref="AC15" si="20">AB15</f>
        <v xml:space="preserve"> 预测数</v>
      </c>
      <c r="AD15" s="17" t="str">
        <f t="shared" ref="AD15" si="21">AC15</f>
        <v xml:space="preserve"> 预测数</v>
      </c>
      <c r="AE15" s="17" t="str">
        <f t="shared" ref="AE15" si="22">AD15</f>
        <v xml:space="preserve"> 预测数</v>
      </c>
      <c r="AF15" s="17" t="str">
        <f t="shared" ref="AF15" si="23">AE15</f>
        <v xml:space="preserve"> 预测数</v>
      </c>
      <c r="AG15" s="17" t="str">
        <f t="shared" ref="AG15" si="24">AF15</f>
        <v xml:space="preserve"> 预测数</v>
      </c>
    </row>
    <row r="16" spans="2:33" x14ac:dyDescent="0.25">
      <c r="B16" s="20" t="s">
        <v>94</v>
      </c>
      <c r="C16" s="121">
        <v>2200</v>
      </c>
      <c r="D16" s="20">
        <f>$C$16*10000*D13</f>
        <v>15399999.999999998</v>
      </c>
      <c r="E16" s="20">
        <f t="shared" ref="E16:F16" si="25">$C$16*10000*E13</f>
        <v>4400000</v>
      </c>
      <c r="F16" s="20">
        <f t="shared" si="25"/>
        <v>2200000</v>
      </c>
      <c r="G16" s="20">
        <v>20000</v>
      </c>
      <c r="H16" s="116">
        <f>G16*(1+0.5%)</f>
        <v>20099.999999999996</v>
      </c>
      <c r="I16" s="116">
        <f t="shared" ref="I16:AG16" si="26">H16*(1+0.5%)</f>
        <v>20200.499999999993</v>
      </c>
      <c r="J16" s="116">
        <f t="shared" si="26"/>
        <v>20301.502499999991</v>
      </c>
      <c r="K16" s="116">
        <f t="shared" si="26"/>
        <v>20403.010012499988</v>
      </c>
      <c r="L16" s="116">
        <f t="shared" si="26"/>
        <v>20505.025062562487</v>
      </c>
      <c r="M16" s="116">
        <f t="shared" si="26"/>
        <v>20607.550187875298</v>
      </c>
      <c r="N16" s="116">
        <f t="shared" si="26"/>
        <v>20710.587938814671</v>
      </c>
      <c r="O16" s="116">
        <f t="shared" si="26"/>
        <v>20814.140878508744</v>
      </c>
      <c r="P16" s="116">
        <f t="shared" si="26"/>
        <v>20918.211582901287</v>
      </c>
      <c r="Q16" s="116">
        <f t="shared" si="26"/>
        <v>21022.802640815793</v>
      </c>
      <c r="R16" s="116">
        <f t="shared" si="26"/>
        <v>21127.916654019871</v>
      </c>
      <c r="S16" s="116">
        <f t="shared" si="26"/>
        <v>21233.556237289969</v>
      </c>
      <c r="T16" s="116">
        <f t="shared" si="26"/>
        <v>21339.724018476416</v>
      </c>
      <c r="U16" s="116">
        <f t="shared" si="26"/>
        <v>21446.422638568794</v>
      </c>
      <c r="V16" s="116">
        <f t="shared" si="26"/>
        <v>21553.654751761635</v>
      </c>
      <c r="W16" s="116">
        <f t="shared" si="26"/>
        <v>21661.423025520442</v>
      </c>
      <c r="X16" s="116">
        <f t="shared" si="26"/>
        <v>21769.730140648044</v>
      </c>
      <c r="Y16" s="116">
        <f t="shared" si="26"/>
        <v>21878.578791351283</v>
      </c>
      <c r="Z16" s="116">
        <f t="shared" si="26"/>
        <v>21987.971685308039</v>
      </c>
      <c r="AA16" s="116">
        <f t="shared" si="26"/>
        <v>22097.911543734575</v>
      </c>
      <c r="AB16" s="116">
        <f t="shared" si="26"/>
        <v>22208.401101453244</v>
      </c>
      <c r="AC16" s="116">
        <f t="shared" si="26"/>
        <v>22319.443106960509</v>
      </c>
      <c r="AD16" s="116">
        <f t="shared" si="26"/>
        <v>22431.040322495308</v>
      </c>
      <c r="AE16" s="116">
        <f t="shared" si="26"/>
        <v>22543.195524107781</v>
      </c>
      <c r="AF16" s="116">
        <f t="shared" si="26"/>
        <v>22655.911501728318</v>
      </c>
      <c r="AG16" s="116">
        <f t="shared" si="26"/>
        <v>22769.191059236957</v>
      </c>
    </row>
    <row r="17" spans="2:33" x14ac:dyDescent="0.25">
      <c r="B17" t="s">
        <v>93</v>
      </c>
      <c r="C17" s="121">
        <v>600</v>
      </c>
      <c r="D17">
        <f>$C$17*10000*D13</f>
        <v>4200000</v>
      </c>
      <c r="E17">
        <f t="shared" ref="E17:F17" si="27">$C$17*10000*E13</f>
        <v>1200000</v>
      </c>
      <c r="F17">
        <f t="shared" si="27"/>
        <v>600000</v>
      </c>
      <c r="G17">
        <v>10000</v>
      </c>
      <c r="H17" s="118">
        <f>G17*(1+1%)</f>
        <v>10100</v>
      </c>
      <c r="I17" s="118">
        <f t="shared" ref="I17:AG17" si="28">H17*(1+1%)</f>
        <v>10201</v>
      </c>
      <c r="J17" s="118">
        <f t="shared" si="28"/>
        <v>10303.01</v>
      </c>
      <c r="K17" s="118">
        <f t="shared" si="28"/>
        <v>10406.0401</v>
      </c>
      <c r="L17" s="118">
        <f t="shared" si="28"/>
        <v>10510.100501000001</v>
      </c>
      <c r="M17" s="118">
        <f t="shared" si="28"/>
        <v>10615.20150601</v>
      </c>
      <c r="N17" s="118">
        <f t="shared" si="28"/>
        <v>10721.353521070101</v>
      </c>
      <c r="O17" s="118">
        <f t="shared" si="28"/>
        <v>10828.567056280803</v>
      </c>
      <c r="P17" s="118">
        <f t="shared" si="28"/>
        <v>10936.85272684361</v>
      </c>
      <c r="Q17" s="118">
        <f t="shared" si="28"/>
        <v>11046.221254112046</v>
      </c>
      <c r="R17" s="118">
        <f t="shared" si="28"/>
        <v>11156.683466653167</v>
      </c>
      <c r="S17" s="118">
        <f t="shared" si="28"/>
        <v>11268.250301319698</v>
      </c>
      <c r="T17" s="118">
        <f t="shared" si="28"/>
        <v>11380.932804332895</v>
      </c>
      <c r="U17" s="118">
        <f t="shared" si="28"/>
        <v>11494.742132376225</v>
      </c>
      <c r="V17" s="118">
        <f t="shared" si="28"/>
        <v>11609.689553699987</v>
      </c>
      <c r="W17" s="118">
        <f t="shared" si="28"/>
        <v>11725.786449236988</v>
      </c>
      <c r="X17" s="118">
        <f t="shared" si="28"/>
        <v>11843.044313729359</v>
      </c>
      <c r="Y17" s="118">
        <f t="shared" si="28"/>
        <v>11961.474756866652</v>
      </c>
      <c r="Z17" s="118">
        <f t="shared" si="28"/>
        <v>12081.089504435318</v>
      </c>
      <c r="AA17" s="118">
        <f t="shared" si="28"/>
        <v>12201.900399479671</v>
      </c>
      <c r="AB17" s="118">
        <f t="shared" si="28"/>
        <v>12323.919403474469</v>
      </c>
      <c r="AC17" s="118">
        <f t="shared" si="28"/>
        <v>12447.158597509213</v>
      </c>
      <c r="AD17" s="118">
        <f t="shared" si="28"/>
        <v>12571.630183484305</v>
      </c>
      <c r="AE17" s="118">
        <f t="shared" si="28"/>
        <v>12697.346485319149</v>
      </c>
      <c r="AF17" s="118">
        <f t="shared" si="28"/>
        <v>12824.319950172341</v>
      </c>
      <c r="AG17" s="118">
        <f t="shared" si="28"/>
        <v>12952.563149674064</v>
      </c>
    </row>
    <row r="18" spans="2:33" x14ac:dyDescent="0.25">
      <c r="B18" s="20" t="s">
        <v>100</v>
      </c>
      <c r="C18" s="121">
        <v>30</v>
      </c>
      <c r="D18" s="20">
        <f>$C$18*10000*D13</f>
        <v>210000</v>
      </c>
      <c r="E18" s="20">
        <f t="shared" ref="E18:F18" si="29">$C$18*10000*E13</f>
        <v>60000</v>
      </c>
      <c r="F18" s="20">
        <f t="shared" si="29"/>
        <v>30000</v>
      </c>
      <c r="G18" s="20">
        <v>2000</v>
      </c>
      <c r="H18" s="116">
        <f>G18*(1+0.2%)</f>
        <v>2004</v>
      </c>
      <c r="I18" s="116">
        <f t="shared" ref="I18:AG18" si="30">H18*(1+0.2%)</f>
        <v>2008.008</v>
      </c>
      <c r="J18" s="116">
        <f t="shared" si="30"/>
        <v>2012.0240160000001</v>
      </c>
      <c r="K18" s="116">
        <f t="shared" si="30"/>
        <v>2016.0480640320002</v>
      </c>
      <c r="L18" s="116">
        <f t="shared" si="30"/>
        <v>2020.0801601600642</v>
      </c>
      <c r="M18" s="116">
        <f t="shared" si="30"/>
        <v>2024.1203204803844</v>
      </c>
      <c r="N18" s="116">
        <f t="shared" si="30"/>
        <v>2028.1685611213452</v>
      </c>
      <c r="O18" s="116">
        <f t="shared" si="30"/>
        <v>2032.2248982435879</v>
      </c>
      <c r="P18" s="116">
        <f t="shared" si="30"/>
        <v>2036.2893480400751</v>
      </c>
      <c r="Q18" s="116">
        <f t="shared" si="30"/>
        <v>2040.3619267361553</v>
      </c>
      <c r="R18" s="116">
        <f t="shared" si="30"/>
        <v>2044.4426505896276</v>
      </c>
      <c r="S18" s="116">
        <f t="shared" si="30"/>
        <v>2048.5315358908069</v>
      </c>
      <c r="T18" s="116">
        <f t="shared" si="30"/>
        <v>2052.6285989625885</v>
      </c>
      <c r="U18" s="116">
        <f t="shared" si="30"/>
        <v>2056.7338561605138</v>
      </c>
      <c r="V18" s="116">
        <f t="shared" si="30"/>
        <v>2060.8473238728347</v>
      </c>
      <c r="W18" s="116">
        <f t="shared" si="30"/>
        <v>2064.9690185205804</v>
      </c>
      <c r="X18" s="116">
        <f t="shared" si="30"/>
        <v>2069.0989565576215</v>
      </c>
      <c r="Y18" s="116">
        <f t="shared" si="30"/>
        <v>2073.2371544707366</v>
      </c>
      <c r="Z18" s="116">
        <f t="shared" si="30"/>
        <v>2077.383628779678</v>
      </c>
      <c r="AA18" s="116">
        <f t="shared" si="30"/>
        <v>2081.5383960372374</v>
      </c>
      <c r="AB18" s="116">
        <f t="shared" si="30"/>
        <v>2085.701472829312</v>
      </c>
      <c r="AC18" s="116">
        <f t="shared" si="30"/>
        <v>2089.8728757749705</v>
      </c>
      <c r="AD18" s="116">
        <f t="shared" si="30"/>
        <v>2094.0526215265204</v>
      </c>
      <c r="AE18" s="116">
        <f t="shared" si="30"/>
        <v>2098.2407267695735</v>
      </c>
      <c r="AF18" s="116">
        <f t="shared" si="30"/>
        <v>2102.4372082231125</v>
      </c>
      <c r="AG18" s="116">
        <f t="shared" si="30"/>
        <v>2106.6420826395588</v>
      </c>
    </row>
    <row r="19" spans="2:33" x14ac:dyDescent="0.25">
      <c r="B19" t="s">
        <v>79</v>
      </c>
      <c r="C19" s="121"/>
    </row>
    <row r="20" spans="2:33" x14ac:dyDescent="0.25">
      <c r="B20" s="20" t="s">
        <v>80</v>
      </c>
      <c r="C20" s="121">
        <v>0</v>
      </c>
      <c r="D20" s="20"/>
      <c r="E20" s="20"/>
      <c r="F20" s="20"/>
      <c r="G20" s="20"/>
      <c r="H20" s="20"/>
      <c r="I20" s="22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</row>
    <row r="21" spans="2:33" x14ac:dyDescent="0.25">
      <c r="B21" t="s">
        <v>81</v>
      </c>
      <c r="C21" s="121">
        <v>100</v>
      </c>
      <c r="D21">
        <f>$C$21*10000*D13</f>
        <v>700000</v>
      </c>
      <c r="E21">
        <f t="shared" ref="E21:F21" si="31">$C$21*10000*E13</f>
        <v>200000</v>
      </c>
      <c r="F21">
        <f t="shared" si="31"/>
        <v>100000</v>
      </c>
    </row>
    <row r="22" spans="2:33" x14ac:dyDescent="0.25">
      <c r="B22" s="20" t="s">
        <v>82</v>
      </c>
      <c r="C22" s="121">
        <v>20</v>
      </c>
      <c r="D22" s="20">
        <f>C22*10000</f>
        <v>200000</v>
      </c>
      <c r="E22" s="20"/>
      <c r="F22" s="20"/>
      <c r="G22" s="20"/>
      <c r="H22" s="20"/>
      <c r="I22" s="22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</row>
    <row r="23" spans="2:33" x14ac:dyDescent="0.25">
      <c r="B23" t="s">
        <v>95</v>
      </c>
      <c r="C23" s="121"/>
    </row>
    <row r="24" spans="2:33" x14ac:dyDescent="0.25">
      <c r="B24" s="20" t="s">
        <v>96</v>
      </c>
      <c r="C24" s="121">
        <f>SUM(C16:C23)</f>
        <v>2950</v>
      </c>
      <c r="D24" s="115">
        <f t="shared" ref="D24:F24" si="32">SUM(D16:D23)</f>
        <v>20710000</v>
      </c>
      <c r="E24" s="115">
        <f t="shared" si="32"/>
        <v>5860000</v>
      </c>
      <c r="F24" s="115">
        <f t="shared" si="32"/>
        <v>2930000</v>
      </c>
      <c r="G24" s="115">
        <f t="shared" ref="G24" si="33">SUM(G16:G23)</f>
        <v>32000</v>
      </c>
      <c r="H24" s="115">
        <f t="shared" ref="H24" si="34">SUM(H16:H23)</f>
        <v>32203.999999999996</v>
      </c>
      <c r="I24" s="115">
        <f t="shared" ref="I24" si="35">SUM(I16:I23)</f>
        <v>32409.507999999994</v>
      </c>
      <c r="J24" s="115">
        <f t="shared" ref="J24" si="36">SUM(J16:J23)</f>
        <v>32616.536515999989</v>
      </c>
      <c r="K24" s="115">
        <f t="shared" ref="K24" si="37">SUM(K16:K23)</f>
        <v>32825.098176531988</v>
      </c>
      <c r="L24" s="115">
        <f t="shared" ref="L24" si="38">SUM(L16:L23)</f>
        <v>33035.205723722553</v>
      </c>
      <c r="M24" s="115">
        <f t="shared" ref="M24" si="39">SUM(M16:M23)</f>
        <v>33246.872014365683</v>
      </c>
      <c r="N24" s="115">
        <f t="shared" ref="N24" si="40">SUM(N16:N23)</f>
        <v>33460.110021006119</v>
      </c>
      <c r="O24" s="115">
        <f t="shared" ref="O24" si="41">SUM(O16:O23)</f>
        <v>33674.932833033134</v>
      </c>
      <c r="P24" s="115">
        <f t="shared" ref="P24" si="42">SUM(P16:P23)</f>
        <v>33891.353657784974</v>
      </c>
      <c r="Q24" s="115">
        <f t="shared" ref="Q24" si="43">SUM(Q16:Q23)</f>
        <v>34109.385821663993</v>
      </c>
      <c r="R24" s="115">
        <f t="shared" ref="R24" si="44">SUM(R16:R23)</f>
        <v>34329.042771262662</v>
      </c>
      <c r="S24" s="115">
        <f t="shared" ref="S24" si="45">SUM(S16:S23)</f>
        <v>34550.338074500476</v>
      </c>
      <c r="T24" s="115">
        <f t="shared" ref="T24" si="46">SUM(T16:T23)</f>
        <v>34773.2854217719</v>
      </c>
      <c r="U24" s="115">
        <f t="shared" ref="U24" si="47">SUM(U16:U23)</f>
        <v>34997.898627105533</v>
      </c>
      <c r="V24" s="115">
        <f t="shared" ref="V24" si="48">SUM(V16:V23)</f>
        <v>35224.191629334455</v>
      </c>
      <c r="W24" s="115">
        <f t="shared" ref="W24" si="49">SUM(W16:W23)</f>
        <v>35452.178493278014</v>
      </c>
      <c r="X24" s="115">
        <f t="shared" ref="X24" si="50">SUM(X16:X23)</f>
        <v>35681.873410935026</v>
      </c>
      <c r="Y24" s="115">
        <f t="shared" ref="Y24" si="51">SUM(Y16:Y23)</f>
        <v>35913.290702688668</v>
      </c>
      <c r="Z24" s="115">
        <f t="shared" ref="Z24" si="52">SUM(Z16:Z23)</f>
        <v>36146.444818523036</v>
      </c>
      <c r="AA24" s="115">
        <f t="shared" ref="AA24" si="53">SUM(AA16:AA23)</f>
        <v>36381.350339251483</v>
      </c>
      <c r="AB24" s="115">
        <f t="shared" ref="AB24" si="54">SUM(AB16:AB23)</f>
        <v>36618.021977757031</v>
      </c>
      <c r="AC24" s="115">
        <f t="shared" ref="AC24" si="55">SUM(AC16:AC23)</f>
        <v>36856.474580244692</v>
      </c>
      <c r="AD24" s="115">
        <f t="shared" ref="AD24" si="56">SUM(AD16:AD23)</f>
        <v>37096.723127506135</v>
      </c>
      <c r="AE24" s="115">
        <f t="shared" ref="AE24" si="57">SUM(AE16:AE23)</f>
        <v>37338.782736196503</v>
      </c>
      <c r="AF24" s="115">
        <f t="shared" ref="AF24" si="58">SUM(AF16:AF23)</f>
        <v>37582.668660123774</v>
      </c>
      <c r="AG24" s="115">
        <f t="shared" ref="AG24" si="59">SUM(AG16:AG23)</f>
        <v>37828.396291550584</v>
      </c>
    </row>
    <row r="25" spans="2:33" x14ac:dyDescent="0.25">
      <c r="B25" t="s">
        <v>110</v>
      </c>
      <c r="C25" s="121">
        <v>40</v>
      </c>
      <c r="D25">
        <v>0</v>
      </c>
      <c r="E25">
        <f>SUM(D24:F24)/C25</f>
        <v>737500</v>
      </c>
      <c r="F25">
        <f>$E$25</f>
        <v>737500</v>
      </c>
      <c r="G25">
        <f t="shared" ref="G25:AG25" si="60">$E$25</f>
        <v>737500</v>
      </c>
      <c r="H25">
        <f t="shared" si="60"/>
        <v>737500</v>
      </c>
      <c r="I25">
        <f t="shared" si="60"/>
        <v>737500</v>
      </c>
      <c r="J25">
        <f t="shared" si="60"/>
        <v>737500</v>
      </c>
      <c r="K25">
        <f t="shared" si="60"/>
        <v>737500</v>
      </c>
      <c r="L25">
        <f t="shared" si="60"/>
        <v>737500</v>
      </c>
      <c r="M25">
        <f t="shared" si="60"/>
        <v>737500</v>
      </c>
      <c r="N25">
        <f t="shared" si="60"/>
        <v>737500</v>
      </c>
      <c r="O25">
        <f t="shared" si="60"/>
        <v>737500</v>
      </c>
      <c r="P25">
        <f t="shared" si="60"/>
        <v>737500</v>
      </c>
      <c r="Q25">
        <f t="shared" si="60"/>
        <v>737500</v>
      </c>
      <c r="R25">
        <f t="shared" si="60"/>
        <v>737500</v>
      </c>
      <c r="S25">
        <f t="shared" si="60"/>
        <v>737500</v>
      </c>
      <c r="T25">
        <f t="shared" si="60"/>
        <v>737500</v>
      </c>
      <c r="U25">
        <f t="shared" si="60"/>
        <v>737500</v>
      </c>
      <c r="V25">
        <f t="shared" si="60"/>
        <v>737500</v>
      </c>
      <c r="W25">
        <f t="shared" si="60"/>
        <v>737500</v>
      </c>
      <c r="X25">
        <f t="shared" si="60"/>
        <v>737500</v>
      </c>
      <c r="Y25">
        <f t="shared" si="60"/>
        <v>737500</v>
      </c>
      <c r="Z25">
        <f t="shared" si="60"/>
        <v>737500</v>
      </c>
      <c r="AA25">
        <f t="shared" si="60"/>
        <v>737500</v>
      </c>
      <c r="AB25">
        <f t="shared" si="60"/>
        <v>737500</v>
      </c>
      <c r="AC25">
        <f t="shared" si="60"/>
        <v>737500</v>
      </c>
      <c r="AD25">
        <f t="shared" si="60"/>
        <v>737500</v>
      </c>
      <c r="AE25">
        <f t="shared" si="60"/>
        <v>737500</v>
      </c>
      <c r="AF25">
        <f t="shared" si="60"/>
        <v>737500</v>
      </c>
      <c r="AG25">
        <f t="shared" si="60"/>
        <v>737500</v>
      </c>
    </row>
    <row r="26" spans="2:33" x14ac:dyDescent="0.25">
      <c r="C26" s="35"/>
    </row>
    <row r="27" spans="2:33" x14ac:dyDescent="0.25">
      <c r="C27" s="139">
        <f>2000*365</f>
        <v>730000</v>
      </c>
      <c r="E27" s="16" t="s">
        <v>105</v>
      </c>
    </row>
    <row r="28" spans="2:33" ht="25.2" x14ac:dyDescent="0.25">
      <c r="B28" s="34" t="s">
        <v>84</v>
      </c>
      <c r="C28" s="35"/>
      <c r="E28" s="125">
        <v>0.01</v>
      </c>
    </row>
    <row r="29" spans="2:33" x14ac:dyDescent="0.25">
      <c r="B29" s="37"/>
      <c r="C29" s="122"/>
      <c r="D29" s="112">
        <f>DATE(2023,1,1)</f>
        <v>44927</v>
      </c>
      <c r="E29" s="112">
        <f>DATE(YEAR(D29)+1,MONTH(D29),DAY(D29))</f>
        <v>45292</v>
      </c>
      <c r="F29" s="112">
        <f t="shared" ref="F29:AG29" si="61">DATE(YEAR(E29)+1,MONTH(E29),DAY(E29))</f>
        <v>45658</v>
      </c>
      <c r="G29" s="112">
        <f t="shared" si="61"/>
        <v>46023</v>
      </c>
      <c r="H29" s="112">
        <f t="shared" si="61"/>
        <v>46388</v>
      </c>
      <c r="I29" s="112">
        <f t="shared" si="61"/>
        <v>46753</v>
      </c>
      <c r="J29" s="112">
        <f t="shared" si="61"/>
        <v>47119</v>
      </c>
      <c r="K29" s="112">
        <f t="shared" si="61"/>
        <v>47484</v>
      </c>
      <c r="L29" s="112">
        <f t="shared" si="61"/>
        <v>47849</v>
      </c>
      <c r="M29" s="112">
        <f>DATE(YEAR(L29)+1,MONTH(L29),DAY(L29))</f>
        <v>48214</v>
      </c>
      <c r="N29" s="112">
        <f t="shared" si="61"/>
        <v>48580</v>
      </c>
      <c r="O29" s="112">
        <f t="shared" si="61"/>
        <v>48945</v>
      </c>
      <c r="P29" s="112">
        <f t="shared" si="61"/>
        <v>49310</v>
      </c>
      <c r="Q29" s="112">
        <f t="shared" si="61"/>
        <v>49675</v>
      </c>
      <c r="R29" s="112">
        <f t="shared" si="61"/>
        <v>50041</v>
      </c>
      <c r="S29" s="112">
        <f t="shared" si="61"/>
        <v>50406</v>
      </c>
      <c r="T29" s="112">
        <f>DATE(YEAR(S29)+1,MONTH(S29),DAY(S29))</f>
        <v>50771</v>
      </c>
      <c r="U29" s="112">
        <f t="shared" si="61"/>
        <v>51136</v>
      </c>
      <c r="V29" s="112">
        <f t="shared" si="61"/>
        <v>51502</v>
      </c>
      <c r="W29" s="112">
        <f t="shared" si="61"/>
        <v>51867</v>
      </c>
      <c r="X29" s="112">
        <f t="shared" si="61"/>
        <v>52232</v>
      </c>
      <c r="Y29" s="112">
        <f t="shared" si="61"/>
        <v>52597</v>
      </c>
      <c r="Z29" s="112">
        <f t="shared" si="61"/>
        <v>52963</v>
      </c>
      <c r="AA29" s="112">
        <f>DATE(YEAR(Z29)+1,MONTH(Z29),DAY(Z29))</f>
        <v>53328</v>
      </c>
      <c r="AB29" s="112">
        <f t="shared" si="61"/>
        <v>53693</v>
      </c>
      <c r="AC29" s="112">
        <f t="shared" si="61"/>
        <v>54058</v>
      </c>
      <c r="AD29" s="112">
        <f t="shared" si="61"/>
        <v>54424</v>
      </c>
      <c r="AE29" s="112">
        <f t="shared" si="61"/>
        <v>54789</v>
      </c>
      <c r="AF29" s="112">
        <f t="shared" si="61"/>
        <v>55154</v>
      </c>
      <c r="AG29" s="112">
        <f t="shared" si="61"/>
        <v>55519</v>
      </c>
    </row>
    <row r="30" spans="2:33" s="16" customFormat="1" x14ac:dyDescent="0.25">
      <c r="C30" s="120" t="s">
        <v>98</v>
      </c>
      <c r="D30" s="16" t="s">
        <v>77</v>
      </c>
      <c r="E30" s="16" t="str">
        <f>D30</f>
        <v>预测</v>
      </c>
      <c r="F30" s="16" t="str">
        <f>E30</f>
        <v>预测</v>
      </c>
      <c r="G30" s="41" t="s">
        <v>27</v>
      </c>
      <c r="H30" s="42" t="s">
        <v>28</v>
      </c>
      <c r="I30" s="17" t="str">
        <f>H30</f>
        <v xml:space="preserve"> 预测数</v>
      </c>
      <c r="J30" s="17" t="str">
        <f t="shared" ref="J30:AG30" si="62">I30</f>
        <v xml:space="preserve"> 预测数</v>
      </c>
      <c r="K30" s="17" t="str">
        <f t="shared" si="62"/>
        <v xml:space="preserve"> 预测数</v>
      </c>
      <c r="L30" s="17" t="str">
        <f t="shared" si="62"/>
        <v xml:space="preserve"> 预测数</v>
      </c>
      <c r="M30" s="17" t="str">
        <f t="shared" si="62"/>
        <v xml:space="preserve"> 预测数</v>
      </c>
      <c r="N30" s="17" t="str">
        <f t="shared" si="62"/>
        <v xml:space="preserve"> 预测数</v>
      </c>
      <c r="O30" s="17" t="str">
        <f t="shared" si="62"/>
        <v xml:space="preserve"> 预测数</v>
      </c>
      <c r="P30" s="17" t="str">
        <f t="shared" si="62"/>
        <v xml:space="preserve"> 预测数</v>
      </c>
      <c r="Q30" s="17" t="str">
        <f t="shared" si="62"/>
        <v xml:space="preserve"> 预测数</v>
      </c>
      <c r="R30" s="17" t="str">
        <f t="shared" si="62"/>
        <v xml:space="preserve"> 预测数</v>
      </c>
      <c r="S30" s="17" t="str">
        <f t="shared" si="62"/>
        <v xml:space="preserve"> 预测数</v>
      </c>
      <c r="T30" s="17" t="str">
        <f t="shared" si="62"/>
        <v xml:space="preserve"> 预测数</v>
      </c>
      <c r="U30" s="17" t="str">
        <f t="shared" si="62"/>
        <v xml:space="preserve"> 预测数</v>
      </c>
      <c r="V30" s="17" t="str">
        <f t="shared" si="62"/>
        <v xml:space="preserve"> 预测数</v>
      </c>
      <c r="W30" s="17" t="str">
        <f t="shared" si="62"/>
        <v xml:space="preserve"> 预测数</v>
      </c>
      <c r="X30" s="17" t="str">
        <f t="shared" si="62"/>
        <v xml:space="preserve"> 预测数</v>
      </c>
      <c r="Y30" s="17" t="str">
        <f t="shared" si="62"/>
        <v xml:space="preserve"> 预测数</v>
      </c>
      <c r="Z30" s="17" t="str">
        <f t="shared" si="62"/>
        <v xml:space="preserve"> 预测数</v>
      </c>
      <c r="AA30" s="17" t="str">
        <f t="shared" si="62"/>
        <v xml:space="preserve"> 预测数</v>
      </c>
      <c r="AB30" s="17" t="str">
        <f t="shared" si="62"/>
        <v xml:space="preserve"> 预测数</v>
      </c>
      <c r="AC30" s="17" t="str">
        <f t="shared" si="62"/>
        <v xml:space="preserve"> 预测数</v>
      </c>
      <c r="AD30" s="17" t="str">
        <f t="shared" si="62"/>
        <v xml:space="preserve"> 预测数</v>
      </c>
      <c r="AE30" s="17" t="str">
        <f t="shared" si="62"/>
        <v xml:space="preserve"> 预测数</v>
      </c>
      <c r="AF30" s="17" t="str">
        <f t="shared" si="62"/>
        <v xml:space="preserve"> 预测数</v>
      </c>
      <c r="AG30" s="17" t="str">
        <f t="shared" si="62"/>
        <v xml:space="preserve"> 预测数</v>
      </c>
    </row>
    <row r="31" spans="2:33" x14ac:dyDescent="0.25">
      <c r="B31" s="18" t="s">
        <v>26</v>
      </c>
      <c r="C31" s="123"/>
      <c r="D31" s="19"/>
      <c r="E31" s="19"/>
      <c r="F31" s="19"/>
      <c r="G31" s="43"/>
      <c r="H31" s="44"/>
      <c r="I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</row>
    <row r="32" spans="2:33" s="130" customFormat="1" x14ac:dyDescent="0.25">
      <c r="B32" s="130" t="s">
        <v>99</v>
      </c>
      <c r="C32" s="131">
        <v>20</v>
      </c>
      <c r="D32" s="132">
        <f>$C$32*365*200</f>
        <v>1460000</v>
      </c>
      <c r="E32" s="132">
        <f>D32*(1+1%)</f>
        <v>1474600</v>
      </c>
      <c r="F32" s="132">
        <f t="shared" ref="F32:AG32" si="63">E32*(1+1%)</f>
        <v>1489346</v>
      </c>
      <c r="G32" s="132">
        <f t="shared" si="63"/>
        <v>1504239.46</v>
      </c>
      <c r="H32" s="132">
        <f t="shared" si="63"/>
        <v>1519281.8546</v>
      </c>
      <c r="I32" s="132">
        <f t="shared" si="63"/>
        <v>1534474.6731459999</v>
      </c>
      <c r="J32" s="132">
        <f t="shared" si="63"/>
        <v>1549819.41987746</v>
      </c>
      <c r="K32" s="132">
        <f t="shared" si="63"/>
        <v>1565317.6140762346</v>
      </c>
      <c r="L32" s="132">
        <f t="shared" si="63"/>
        <v>1580970.790216997</v>
      </c>
      <c r="M32" s="132">
        <f t="shared" si="63"/>
        <v>1596780.4981191671</v>
      </c>
      <c r="N32" s="132">
        <f t="shared" si="63"/>
        <v>1612748.3031003587</v>
      </c>
      <c r="O32" s="132">
        <f t="shared" si="63"/>
        <v>1628875.7861313622</v>
      </c>
      <c r="P32" s="132">
        <f t="shared" si="63"/>
        <v>1645164.5439926758</v>
      </c>
      <c r="Q32" s="132">
        <f t="shared" si="63"/>
        <v>1661616.1894326026</v>
      </c>
      <c r="R32" s="132">
        <f t="shared" si="63"/>
        <v>1678232.3513269287</v>
      </c>
      <c r="S32" s="132">
        <f t="shared" si="63"/>
        <v>1695014.6748401979</v>
      </c>
      <c r="T32" s="132">
        <f t="shared" si="63"/>
        <v>1711964.8215885998</v>
      </c>
      <c r="U32" s="132">
        <f t="shared" si="63"/>
        <v>1729084.4698044858</v>
      </c>
      <c r="V32" s="132">
        <f t="shared" si="63"/>
        <v>1746375.3145025307</v>
      </c>
      <c r="W32" s="132">
        <f t="shared" si="63"/>
        <v>1763839.0676475561</v>
      </c>
      <c r="X32" s="132">
        <f t="shared" si="63"/>
        <v>1781477.4583240317</v>
      </c>
      <c r="Y32" s="132">
        <f t="shared" si="63"/>
        <v>1799292.2329072719</v>
      </c>
      <c r="Z32" s="132">
        <f t="shared" si="63"/>
        <v>1817285.1552363448</v>
      </c>
      <c r="AA32" s="132">
        <f t="shared" si="63"/>
        <v>1835458.0067887083</v>
      </c>
      <c r="AB32" s="132">
        <f t="shared" si="63"/>
        <v>1853812.5868565955</v>
      </c>
      <c r="AC32" s="132">
        <f t="shared" si="63"/>
        <v>1872350.7127251613</v>
      </c>
      <c r="AD32" s="132">
        <f t="shared" si="63"/>
        <v>1891074.2198524131</v>
      </c>
      <c r="AE32" s="132">
        <f t="shared" si="63"/>
        <v>1909984.9620509371</v>
      </c>
      <c r="AF32" s="132">
        <f t="shared" si="63"/>
        <v>1929084.8116714465</v>
      </c>
      <c r="AG32" s="132">
        <f t="shared" si="63"/>
        <v>1948375.6597881611</v>
      </c>
    </row>
    <row r="33" spans="2:33" s="130" customFormat="1" x14ac:dyDescent="0.25">
      <c r="B33" s="130" t="s">
        <v>103</v>
      </c>
      <c r="C33" s="133">
        <v>0.02</v>
      </c>
      <c r="D33" s="132">
        <f>D32*2%</f>
        <v>29200</v>
      </c>
      <c r="E33" s="132">
        <f t="shared" ref="E33:AG33" si="64">E32*2%</f>
        <v>29492</v>
      </c>
      <c r="F33" s="132">
        <f t="shared" si="64"/>
        <v>29786.920000000002</v>
      </c>
      <c r="G33" s="132">
        <f t="shared" si="64"/>
        <v>30084.789199999999</v>
      </c>
      <c r="H33" s="132">
        <f t="shared" si="64"/>
        <v>30385.637092000001</v>
      </c>
      <c r="I33" s="132">
        <f t="shared" si="64"/>
        <v>30689.49346292</v>
      </c>
      <c r="J33" s="132">
        <f t="shared" si="64"/>
        <v>30996.388397549199</v>
      </c>
      <c r="K33" s="132">
        <f t="shared" si="64"/>
        <v>31306.352281524694</v>
      </c>
      <c r="L33" s="132">
        <f t="shared" si="64"/>
        <v>31619.41580433994</v>
      </c>
      <c r="M33" s="132">
        <f t="shared" si="64"/>
        <v>31935.609962383343</v>
      </c>
      <c r="N33" s="132">
        <f t="shared" si="64"/>
        <v>32254.966062007174</v>
      </c>
      <c r="O33" s="132">
        <f t="shared" si="64"/>
        <v>32577.515722627246</v>
      </c>
      <c r="P33" s="132">
        <f t="shared" si="64"/>
        <v>32903.290879853521</v>
      </c>
      <c r="Q33" s="132">
        <f t="shared" si="64"/>
        <v>33232.323788652051</v>
      </c>
      <c r="R33" s="132">
        <f t="shared" si="64"/>
        <v>33564.647026538572</v>
      </c>
      <c r="S33" s="132">
        <f t="shared" si="64"/>
        <v>33900.293496803955</v>
      </c>
      <c r="T33" s="132">
        <f t="shared" si="64"/>
        <v>34239.296431771996</v>
      </c>
      <c r="U33" s="132">
        <f t="shared" si="64"/>
        <v>34581.689396089714</v>
      </c>
      <c r="V33" s="132">
        <f t="shared" si="64"/>
        <v>34927.506290050616</v>
      </c>
      <c r="W33" s="132">
        <f t="shared" si="64"/>
        <v>35276.781352951126</v>
      </c>
      <c r="X33" s="132">
        <f t="shared" si="64"/>
        <v>35629.549166480632</v>
      </c>
      <c r="Y33" s="132">
        <f t="shared" si="64"/>
        <v>35985.844658145441</v>
      </c>
      <c r="Z33" s="132">
        <f t="shared" si="64"/>
        <v>36345.703104726897</v>
      </c>
      <c r="AA33" s="132">
        <f t="shared" si="64"/>
        <v>36709.160135774167</v>
      </c>
      <c r="AB33" s="132">
        <f t="shared" si="64"/>
        <v>37076.251737131912</v>
      </c>
      <c r="AC33" s="132">
        <f t="shared" si="64"/>
        <v>37447.014254503229</v>
      </c>
      <c r="AD33" s="132">
        <f t="shared" si="64"/>
        <v>37821.484397048262</v>
      </c>
      <c r="AE33" s="132">
        <f t="shared" si="64"/>
        <v>38199.699241018745</v>
      </c>
      <c r="AF33" s="132">
        <f t="shared" si="64"/>
        <v>38581.696233428935</v>
      </c>
      <c r="AG33" s="132">
        <f t="shared" si="64"/>
        <v>38967.513195763218</v>
      </c>
    </row>
    <row r="34" spans="2:33" s="136" customFormat="1" x14ac:dyDescent="0.25">
      <c r="B34" s="134" t="s">
        <v>101</v>
      </c>
      <c r="C34" s="131">
        <v>40</v>
      </c>
      <c r="D34" s="135">
        <f>70%*C34*365*200</f>
        <v>2044000</v>
      </c>
      <c r="E34" s="135">
        <f>D34*(1+1%)</f>
        <v>2064440</v>
      </c>
      <c r="F34" s="135">
        <f t="shared" ref="F34:AG34" si="65">E34*(1+1%)</f>
        <v>2085084.4</v>
      </c>
      <c r="G34" s="135">
        <f t="shared" si="65"/>
        <v>2105935.2439999999</v>
      </c>
      <c r="H34" s="135">
        <f t="shared" si="65"/>
        <v>2126994.59644</v>
      </c>
      <c r="I34" s="135">
        <f t="shared" si="65"/>
        <v>2148264.5424044002</v>
      </c>
      <c r="J34" s="135">
        <f t="shared" si="65"/>
        <v>2169747.1878284444</v>
      </c>
      <c r="K34" s="135">
        <f t="shared" si="65"/>
        <v>2191444.659706729</v>
      </c>
      <c r="L34" s="135">
        <f t="shared" si="65"/>
        <v>2213359.1063037962</v>
      </c>
      <c r="M34" s="135">
        <f t="shared" si="65"/>
        <v>2235492.6973668342</v>
      </c>
      <c r="N34" s="135">
        <f t="shared" si="65"/>
        <v>2257847.6243405025</v>
      </c>
      <c r="O34" s="135">
        <f t="shared" si="65"/>
        <v>2280426.1005839077</v>
      </c>
      <c r="P34" s="135">
        <f t="shared" si="65"/>
        <v>2303230.3615897465</v>
      </c>
      <c r="Q34" s="135">
        <f t="shared" si="65"/>
        <v>2326262.665205644</v>
      </c>
      <c r="R34" s="135">
        <f t="shared" si="65"/>
        <v>2349525.2918577003</v>
      </c>
      <c r="S34" s="135">
        <f t="shared" si="65"/>
        <v>2373020.5447762772</v>
      </c>
      <c r="T34" s="135">
        <f t="shared" si="65"/>
        <v>2396750.7502240399</v>
      </c>
      <c r="U34" s="135">
        <f t="shared" si="65"/>
        <v>2420718.2577262805</v>
      </c>
      <c r="V34" s="135">
        <f t="shared" si="65"/>
        <v>2444925.4403035431</v>
      </c>
      <c r="W34" s="135">
        <f t="shared" si="65"/>
        <v>2469374.6947065787</v>
      </c>
      <c r="X34" s="135">
        <f t="shared" si="65"/>
        <v>2494068.4416536447</v>
      </c>
      <c r="Y34" s="135">
        <f t="shared" si="65"/>
        <v>2519009.1260701809</v>
      </c>
      <c r="Z34" s="135">
        <f t="shared" si="65"/>
        <v>2544199.2173308828</v>
      </c>
      <c r="AA34" s="135">
        <f t="shared" si="65"/>
        <v>2569641.2095041918</v>
      </c>
      <c r="AB34" s="135">
        <f t="shared" si="65"/>
        <v>2595337.6215992337</v>
      </c>
      <c r="AC34" s="135">
        <f t="shared" si="65"/>
        <v>2621290.9978152262</v>
      </c>
      <c r="AD34" s="135">
        <f t="shared" si="65"/>
        <v>2647503.9077933785</v>
      </c>
      <c r="AE34" s="135">
        <f t="shared" si="65"/>
        <v>2673978.9468713123</v>
      </c>
      <c r="AF34" s="135">
        <f t="shared" si="65"/>
        <v>2700718.7363400254</v>
      </c>
      <c r="AG34" s="135">
        <f t="shared" si="65"/>
        <v>2727725.9237034256</v>
      </c>
    </row>
    <row r="35" spans="2:33" s="136" customFormat="1" x14ac:dyDescent="0.25">
      <c r="B35" s="134" t="s">
        <v>108</v>
      </c>
      <c r="C35" s="137"/>
      <c r="D35" s="135">
        <v>60000</v>
      </c>
      <c r="E35" s="135">
        <f>D35*(1+1%)</f>
        <v>60600</v>
      </c>
      <c r="F35" s="135">
        <f t="shared" ref="F35:AG35" si="66">E35*(1+1%)</f>
        <v>61206</v>
      </c>
      <c r="G35" s="135">
        <f t="shared" si="66"/>
        <v>61818.06</v>
      </c>
      <c r="H35" s="135">
        <f t="shared" si="66"/>
        <v>62436.240599999997</v>
      </c>
      <c r="I35" s="135">
        <f t="shared" si="66"/>
        <v>63060.603005999998</v>
      </c>
      <c r="J35" s="135">
        <f t="shared" si="66"/>
        <v>63691.209036059998</v>
      </c>
      <c r="K35" s="135">
        <f t="shared" si="66"/>
        <v>64328.121126420599</v>
      </c>
      <c r="L35" s="135">
        <f t="shared" si="66"/>
        <v>64971.402337684805</v>
      </c>
      <c r="M35" s="135">
        <f t="shared" si="66"/>
        <v>65621.11636106165</v>
      </c>
      <c r="N35" s="135">
        <f t="shared" si="66"/>
        <v>66277.327524672262</v>
      </c>
      <c r="O35" s="135">
        <f t="shared" si="66"/>
        <v>66940.10079991899</v>
      </c>
      <c r="P35" s="135">
        <f t="shared" si="66"/>
        <v>67609.501807918175</v>
      </c>
      <c r="Q35" s="135">
        <f t="shared" si="66"/>
        <v>68285.59682599736</v>
      </c>
      <c r="R35" s="135">
        <f t="shared" si="66"/>
        <v>68968.452794257333</v>
      </c>
      <c r="S35" s="135">
        <f t="shared" si="66"/>
        <v>69658.137322199909</v>
      </c>
      <c r="T35" s="135">
        <f t="shared" si="66"/>
        <v>70354.718695421907</v>
      </c>
      <c r="U35" s="135">
        <f t="shared" si="66"/>
        <v>71058.26588237613</v>
      </c>
      <c r="V35" s="135">
        <f t="shared" si="66"/>
        <v>71768.848541199899</v>
      </c>
      <c r="W35" s="135">
        <f t="shared" si="66"/>
        <v>72486.537026611899</v>
      </c>
      <c r="X35" s="135">
        <f t="shared" si="66"/>
        <v>73211.402396878024</v>
      </c>
      <c r="Y35" s="135">
        <f t="shared" si="66"/>
        <v>73943.516420846805</v>
      </c>
      <c r="Z35" s="135">
        <f t="shared" si="66"/>
        <v>74682.951585055271</v>
      </c>
      <c r="AA35" s="135">
        <f t="shared" si="66"/>
        <v>75429.78110090582</v>
      </c>
      <c r="AB35" s="135">
        <f t="shared" si="66"/>
        <v>76184.078911914883</v>
      </c>
      <c r="AC35" s="135">
        <f t="shared" si="66"/>
        <v>76945.919701034029</v>
      </c>
      <c r="AD35" s="135">
        <f t="shared" si="66"/>
        <v>77715.378898044364</v>
      </c>
      <c r="AE35" s="135">
        <f t="shared" si="66"/>
        <v>78492.53268702481</v>
      </c>
      <c r="AF35" s="135">
        <f t="shared" si="66"/>
        <v>79277.458013895055</v>
      </c>
      <c r="AG35" s="135">
        <f t="shared" si="66"/>
        <v>80070.232594034009</v>
      </c>
    </row>
    <row r="36" spans="2:33" s="136" customFormat="1" x14ac:dyDescent="0.25">
      <c r="B36" s="134" t="s">
        <v>78</v>
      </c>
      <c r="C36" s="137"/>
      <c r="D36" s="135">
        <v>60000</v>
      </c>
      <c r="E36" s="135">
        <f>D36*(1+1%)</f>
        <v>60600</v>
      </c>
      <c r="F36" s="135">
        <f t="shared" ref="F36:AG36" si="67">E36*(1+1%)</f>
        <v>61206</v>
      </c>
      <c r="G36" s="135">
        <f t="shared" si="67"/>
        <v>61818.06</v>
      </c>
      <c r="H36" s="135">
        <f t="shared" si="67"/>
        <v>62436.240599999997</v>
      </c>
      <c r="I36" s="135">
        <f t="shared" si="67"/>
        <v>63060.603005999998</v>
      </c>
      <c r="J36" s="135">
        <f t="shared" si="67"/>
        <v>63691.209036059998</v>
      </c>
      <c r="K36" s="135">
        <f t="shared" si="67"/>
        <v>64328.121126420599</v>
      </c>
      <c r="L36" s="135">
        <f t="shared" si="67"/>
        <v>64971.402337684805</v>
      </c>
      <c r="M36" s="135">
        <f t="shared" si="67"/>
        <v>65621.11636106165</v>
      </c>
      <c r="N36" s="135">
        <f t="shared" si="67"/>
        <v>66277.327524672262</v>
      </c>
      <c r="O36" s="135">
        <f t="shared" si="67"/>
        <v>66940.10079991899</v>
      </c>
      <c r="P36" s="135">
        <f t="shared" si="67"/>
        <v>67609.501807918175</v>
      </c>
      <c r="Q36" s="135">
        <f t="shared" si="67"/>
        <v>68285.59682599736</v>
      </c>
      <c r="R36" s="135">
        <f t="shared" si="67"/>
        <v>68968.452794257333</v>
      </c>
      <c r="S36" s="135">
        <f t="shared" si="67"/>
        <v>69658.137322199909</v>
      </c>
      <c r="T36" s="135">
        <f t="shared" si="67"/>
        <v>70354.718695421907</v>
      </c>
      <c r="U36" s="135">
        <f t="shared" si="67"/>
        <v>71058.26588237613</v>
      </c>
      <c r="V36" s="135">
        <f t="shared" si="67"/>
        <v>71768.848541199899</v>
      </c>
      <c r="W36" s="135">
        <f t="shared" si="67"/>
        <v>72486.537026611899</v>
      </c>
      <c r="X36" s="135">
        <f t="shared" si="67"/>
        <v>73211.402396878024</v>
      </c>
      <c r="Y36" s="135">
        <f t="shared" si="67"/>
        <v>73943.516420846805</v>
      </c>
      <c r="Z36" s="135">
        <f t="shared" si="67"/>
        <v>74682.951585055271</v>
      </c>
      <c r="AA36" s="135">
        <f t="shared" si="67"/>
        <v>75429.78110090582</v>
      </c>
      <c r="AB36" s="135">
        <f t="shared" si="67"/>
        <v>76184.078911914883</v>
      </c>
      <c r="AC36" s="135">
        <f t="shared" si="67"/>
        <v>76945.919701034029</v>
      </c>
      <c r="AD36" s="135">
        <f t="shared" si="67"/>
        <v>77715.378898044364</v>
      </c>
      <c r="AE36" s="135">
        <f t="shared" si="67"/>
        <v>78492.53268702481</v>
      </c>
      <c r="AF36" s="135">
        <f t="shared" si="67"/>
        <v>79277.458013895055</v>
      </c>
      <c r="AG36" s="135">
        <f t="shared" si="67"/>
        <v>80070.232594034009</v>
      </c>
    </row>
    <row r="37" spans="2:33" s="136" customFormat="1" x14ac:dyDescent="0.25">
      <c r="B37" s="134" t="s">
        <v>102</v>
      </c>
      <c r="C37" s="137"/>
      <c r="D37" s="135">
        <v>50000</v>
      </c>
      <c r="E37" s="135">
        <f>D37*(1+1%)</f>
        <v>50500</v>
      </c>
      <c r="F37" s="135">
        <f t="shared" ref="F37:AG37" si="68">E37*(1+1%)</f>
        <v>51005</v>
      </c>
      <c r="G37" s="135">
        <f t="shared" si="68"/>
        <v>51515.05</v>
      </c>
      <c r="H37" s="135">
        <f t="shared" si="68"/>
        <v>52030.200500000006</v>
      </c>
      <c r="I37" s="135">
        <f t="shared" si="68"/>
        <v>52550.502505000004</v>
      </c>
      <c r="J37" s="135">
        <f t="shared" si="68"/>
        <v>53076.007530050003</v>
      </c>
      <c r="K37" s="135">
        <f t="shared" si="68"/>
        <v>53606.767605350506</v>
      </c>
      <c r="L37" s="135">
        <f t="shared" si="68"/>
        <v>54142.835281404012</v>
      </c>
      <c r="M37" s="135">
        <f t="shared" si="68"/>
        <v>54684.263634218056</v>
      </c>
      <c r="N37" s="135">
        <f t="shared" si="68"/>
        <v>55231.106270560238</v>
      </c>
      <c r="O37" s="135">
        <f t="shared" si="68"/>
        <v>55783.417333265839</v>
      </c>
      <c r="P37" s="135">
        <f t="shared" si="68"/>
        <v>56341.251506598499</v>
      </c>
      <c r="Q37" s="135">
        <f t="shared" si="68"/>
        <v>56904.664021664481</v>
      </c>
      <c r="R37" s="135">
        <f t="shared" si="68"/>
        <v>57473.710661881123</v>
      </c>
      <c r="S37" s="135">
        <f t="shared" si="68"/>
        <v>58048.447768499937</v>
      </c>
      <c r="T37" s="135">
        <f t="shared" si="68"/>
        <v>58628.932246184937</v>
      </c>
      <c r="U37" s="135">
        <f t="shared" si="68"/>
        <v>59215.22156864679</v>
      </c>
      <c r="V37" s="135">
        <f t="shared" si="68"/>
        <v>59807.373784333256</v>
      </c>
      <c r="W37" s="135">
        <f t="shared" si="68"/>
        <v>60405.44752217659</v>
      </c>
      <c r="X37" s="135">
        <f t="shared" si="68"/>
        <v>61009.501997398358</v>
      </c>
      <c r="Y37" s="135">
        <f t="shared" si="68"/>
        <v>61619.59701737234</v>
      </c>
      <c r="Z37" s="135">
        <f t="shared" si="68"/>
        <v>62235.792987546061</v>
      </c>
      <c r="AA37" s="135">
        <f t="shared" si="68"/>
        <v>62858.150917421524</v>
      </c>
      <c r="AB37" s="135">
        <f t="shared" si="68"/>
        <v>63486.732426595743</v>
      </c>
      <c r="AC37" s="135">
        <f t="shared" si="68"/>
        <v>64121.5997508617</v>
      </c>
      <c r="AD37" s="135">
        <f t="shared" si="68"/>
        <v>64762.815748370318</v>
      </c>
      <c r="AE37" s="135">
        <f t="shared" si="68"/>
        <v>65410.443905854023</v>
      </c>
      <c r="AF37" s="135">
        <f t="shared" si="68"/>
        <v>66064.54834491256</v>
      </c>
      <c r="AG37" s="135">
        <f t="shared" si="68"/>
        <v>66725.193828361691</v>
      </c>
    </row>
    <row r="38" spans="2:33" s="136" customFormat="1" x14ac:dyDescent="0.25">
      <c r="B38" s="134" t="s">
        <v>104</v>
      </c>
      <c r="C38" s="137"/>
      <c r="D38" s="135">
        <v>0</v>
      </c>
      <c r="E38" s="135">
        <f t="shared" ref="E38:AG38" si="69">SUM(E32:E37)</f>
        <v>3740232</v>
      </c>
      <c r="F38" s="135">
        <f t="shared" si="69"/>
        <v>3777634.32</v>
      </c>
      <c r="G38" s="135">
        <f t="shared" si="69"/>
        <v>3815410.6631999998</v>
      </c>
      <c r="H38" s="135">
        <f t="shared" si="69"/>
        <v>3853564.7698320001</v>
      </c>
      <c r="I38" s="135">
        <f t="shared" si="69"/>
        <v>3892100.4175303206</v>
      </c>
      <c r="J38" s="135">
        <f t="shared" si="69"/>
        <v>3931021.4217056236</v>
      </c>
      <c r="K38" s="135">
        <f t="shared" si="69"/>
        <v>3970331.6359226806</v>
      </c>
      <c r="L38" s="135">
        <f t="shared" si="69"/>
        <v>4010034.9522819067</v>
      </c>
      <c r="M38" s="135">
        <f t="shared" si="69"/>
        <v>4050135.3018047255</v>
      </c>
      <c r="N38" s="135">
        <f t="shared" si="69"/>
        <v>4090636.6548227733</v>
      </c>
      <c r="O38" s="135">
        <f t="shared" si="69"/>
        <v>4131543.0213710014</v>
      </c>
      <c r="P38" s="135">
        <f t="shared" si="69"/>
        <v>4172858.4515847112</v>
      </c>
      <c r="Q38" s="135">
        <f t="shared" si="69"/>
        <v>4214587.036100558</v>
      </c>
      <c r="R38" s="135">
        <f t="shared" si="69"/>
        <v>4256732.906461563</v>
      </c>
      <c r="S38" s="135">
        <f t="shared" si="69"/>
        <v>4299300.235526179</v>
      </c>
      <c r="T38" s="135">
        <f t="shared" si="69"/>
        <v>4342293.2378814397</v>
      </c>
      <c r="U38" s="135">
        <f t="shared" si="69"/>
        <v>4385716.1702602562</v>
      </c>
      <c r="V38" s="135">
        <f t="shared" si="69"/>
        <v>4429573.3319628583</v>
      </c>
      <c r="W38" s="135">
        <f t="shared" si="69"/>
        <v>4473869.0652824864</v>
      </c>
      <c r="X38" s="135">
        <f t="shared" si="69"/>
        <v>4518607.7559353113</v>
      </c>
      <c r="Y38" s="135">
        <f t="shared" si="69"/>
        <v>4563793.8334946642</v>
      </c>
      <c r="Z38" s="135">
        <f t="shared" si="69"/>
        <v>4609431.7718296107</v>
      </c>
      <c r="AA38" s="135">
        <f t="shared" si="69"/>
        <v>4655526.0895479061</v>
      </c>
      <c r="AB38" s="135">
        <f t="shared" si="69"/>
        <v>4702081.3504433865</v>
      </c>
      <c r="AC38" s="135">
        <f t="shared" si="69"/>
        <v>4749102.1639478207</v>
      </c>
      <c r="AD38" s="135">
        <f t="shared" si="69"/>
        <v>4796593.1855872981</v>
      </c>
      <c r="AE38" s="135">
        <f t="shared" si="69"/>
        <v>4844559.1174431723</v>
      </c>
      <c r="AF38" s="135">
        <f t="shared" si="69"/>
        <v>4893004.7086176043</v>
      </c>
      <c r="AG38" s="135">
        <f t="shared" si="69"/>
        <v>4941934.7557037789</v>
      </c>
    </row>
    <row r="39" spans="2:33" x14ac:dyDescent="0.25">
      <c r="B39" t="s">
        <v>29</v>
      </c>
      <c r="C39" s="121"/>
      <c r="D39" s="126">
        <v>0</v>
      </c>
      <c r="E39" s="126">
        <v>0</v>
      </c>
      <c r="F39" s="126">
        <v>0</v>
      </c>
      <c r="G39" s="127">
        <f>G24</f>
        <v>32000</v>
      </c>
      <c r="H39" s="127">
        <f t="shared" ref="H39:AG39" si="70">H24</f>
        <v>32203.999999999996</v>
      </c>
      <c r="I39" s="127">
        <f t="shared" si="70"/>
        <v>32409.507999999994</v>
      </c>
      <c r="J39" s="127">
        <f t="shared" si="70"/>
        <v>32616.536515999989</v>
      </c>
      <c r="K39" s="127">
        <f t="shared" si="70"/>
        <v>32825.098176531988</v>
      </c>
      <c r="L39" s="127">
        <f t="shared" si="70"/>
        <v>33035.205723722553</v>
      </c>
      <c r="M39" s="127">
        <f t="shared" si="70"/>
        <v>33246.872014365683</v>
      </c>
      <c r="N39" s="127">
        <f t="shared" si="70"/>
        <v>33460.110021006119</v>
      </c>
      <c r="O39" s="127">
        <f t="shared" si="70"/>
        <v>33674.932833033134</v>
      </c>
      <c r="P39" s="127">
        <f t="shared" si="70"/>
        <v>33891.353657784974</v>
      </c>
      <c r="Q39" s="127">
        <f t="shared" si="70"/>
        <v>34109.385821663993</v>
      </c>
      <c r="R39" s="127">
        <f t="shared" si="70"/>
        <v>34329.042771262662</v>
      </c>
      <c r="S39" s="127">
        <f t="shared" si="70"/>
        <v>34550.338074500476</v>
      </c>
      <c r="T39" s="127">
        <f t="shared" si="70"/>
        <v>34773.2854217719</v>
      </c>
      <c r="U39" s="127">
        <f t="shared" si="70"/>
        <v>34997.898627105533</v>
      </c>
      <c r="V39" s="127">
        <f t="shared" si="70"/>
        <v>35224.191629334455</v>
      </c>
      <c r="W39" s="127">
        <f t="shared" si="70"/>
        <v>35452.178493278014</v>
      </c>
      <c r="X39" s="127">
        <f t="shared" si="70"/>
        <v>35681.873410935026</v>
      </c>
      <c r="Y39" s="127">
        <f t="shared" si="70"/>
        <v>35913.290702688668</v>
      </c>
      <c r="Z39" s="127">
        <f t="shared" si="70"/>
        <v>36146.444818523036</v>
      </c>
      <c r="AA39" s="127">
        <f t="shared" si="70"/>
        <v>36381.350339251483</v>
      </c>
      <c r="AB39" s="127">
        <f t="shared" si="70"/>
        <v>36618.021977757031</v>
      </c>
      <c r="AC39" s="127">
        <f t="shared" si="70"/>
        <v>36856.474580244692</v>
      </c>
      <c r="AD39" s="127">
        <f t="shared" si="70"/>
        <v>37096.723127506135</v>
      </c>
      <c r="AE39" s="127">
        <f t="shared" si="70"/>
        <v>37338.782736196503</v>
      </c>
      <c r="AF39" s="127">
        <f t="shared" si="70"/>
        <v>37582.668660123774</v>
      </c>
      <c r="AG39" s="127">
        <f t="shared" si="70"/>
        <v>37828.396291550584</v>
      </c>
    </row>
    <row r="40" spans="2:33" x14ac:dyDescent="0.25">
      <c r="B40" s="134" t="s">
        <v>111</v>
      </c>
      <c r="C40" s="121"/>
      <c r="D40" s="126">
        <f>D25</f>
        <v>0</v>
      </c>
      <c r="E40" s="126">
        <f t="shared" ref="E40:AG40" si="71">E25</f>
        <v>737500</v>
      </c>
      <c r="F40" s="126">
        <f t="shared" si="71"/>
        <v>737500</v>
      </c>
      <c r="G40" s="126">
        <f t="shared" si="71"/>
        <v>737500</v>
      </c>
      <c r="H40" s="126">
        <f t="shared" si="71"/>
        <v>737500</v>
      </c>
      <c r="I40" s="126">
        <f t="shared" si="71"/>
        <v>737500</v>
      </c>
      <c r="J40" s="126">
        <f t="shared" si="71"/>
        <v>737500</v>
      </c>
      <c r="K40" s="126">
        <f t="shared" si="71"/>
        <v>737500</v>
      </c>
      <c r="L40" s="126">
        <f t="shared" si="71"/>
        <v>737500</v>
      </c>
      <c r="M40" s="126">
        <f t="shared" si="71"/>
        <v>737500</v>
      </c>
      <c r="N40" s="126">
        <f t="shared" si="71"/>
        <v>737500</v>
      </c>
      <c r="O40" s="126">
        <f t="shared" si="71"/>
        <v>737500</v>
      </c>
      <c r="P40" s="126">
        <f t="shared" si="71"/>
        <v>737500</v>
      </c>
      <c r="Q40" s="126">
        <f t="shared" si="71"/>
        <v>737500</v>
      </c>
      <c r="R40" s="126">
        <f t="shared" si="71"/>
        <v>737500</v>
      </c>
      <c r="S40" s="126">
        <f t="shared" si="71"/>
        <v>737500</v>
      </c>
      <c r="T40" s="126">
        <f t="shared" si="71"/>
        <v>737500</v>
      </c>
      <c r="U40" s="126">
        <f t="shared" si="71"/>
        <v>737500</v>
      </c>
      <c r="V40" s="126">
        <f t="shared" si="71"/>
        <v>737500</v>
      </c>
      <c r="W40" s="126">
        <f t="shared" si="71"/>
        <v>737500</v>
      </c>
      <c r="X40" s="126">
        <f t="shared" si="71"/>
        <v>737500</v>
      </c>
      <c r="Y40" s="126">
        <f t="shared" si="71"/>
        <v>737500</v>
      </c>
      <c r="Z40" s="126">
        <f t="shared" si="71"/>
        <v>737500</v>
      </c>
      <c r="AA40" s="126">
        <f t="shared" si="71"/>
        <v>737500</v>
      </c>
      <c r="AB40" s="126">
        <f t="shared" si="71"/>
        <v>737500</v>
      </c>
      <c r="AC40" s="126">
        <f t="shared" si="71"/>
        <v>737500</v>
      </c>
      <c r="AD40" s="126">
        <f t="shared" si="71"/>
        <v>737500</v>
      </c>
      <c r="AE40" s="126">
        <f t="shared" si="71"/>
        <v>737500</v>
      </c>
      <c r="AF40" s="126">
        <f t="shared" si="71"/>
        <v>737500</v>
      </c>
      <c r="AG40" s="126">
        <f t="shared" si="71"/>
        <v>737500</v>
      </c>
    </row>
    <row r="41" spans="2:33" x14ac:dyDescent="0.25">
      <c r="B41" s="20" t="s">
        <v>30</v>
      </c>
      <c r="C41" s="120">
        <v>2.86E-2</v>
      </c>
      <c r="D41" s="129">
        <f>$C$41*D38</f>
        <v>0</v>
      </c>
      <c r="E41" s="129">
        <f t="shared" ref="E41:AG41" si="72">$C$41*E38</f>
        <v>106970.6352</v>
      </c>
      <c r="F41" s="129">
        <f t="shared" si="72"/>
        <v>108040.341552</v>
      </c>
      <c r="G41" s="129">
        <f t="shared" si="72"/>
        <v>109120.74496752</v>
      </c>
      <c r="H41" s="129">
        <f t="shared" si="72"/>
        <v>110211.95241719521</v>
      </c>
      <c r="I41" s="129">
        <f t="shared" si="72"/>
        <v>111314.07194136718</v>
      </c>
      <c r="J41" s="129">
        <f t="shared" si="72"/>
        <v>112427.21266078083</v>
      </c>
      <c r="K41" s="129">
        <f t="shared" si="72"/>
        <v>113551.48478738866</v>
      </c>
      <c r="L41" s="129">
        <f t="shared" si="72"/>
        <v>114686.99963526253</v>
      </c>
      <c r="M41" s="129">
        <f t="shared" si="72"/>
        <v>115833.86963161515</v>
      </c>
      <c r="N41" s="129">
        <f t="shared" si="72"/>
        <v>116992.20832793132</v>
      </c>
      <c r="O41" s="129">
        <f t="shared" si="72"/>
        <v>118162.13041121064</v>
      </c>
      <c r="P41" s="129">
        <f t="shared" si="72"/>
        <v>119343.75171532274</v>
      </c>
      <c r="Q41" s="129">
        <f t="shared" si="72"/>
        <v>120537.18923247595</v>
      </c>
      <c r="R41" s="129">
        <f t="shared" si="72"/>
        <v>121742.5611248007</v>
      </c>
      <c r="S41" s="129">
        <f t="shared" si="72"/>
        <v>122959.98673604873</v>
      </c>
      <c r="T41" s="129">
        <f t="shared" si="72"/>
        <v>124189.58660340917</v>
      </c>
      <c r="U41" s="129">
        <f t="shared" si="72"/>
        <v>125431.48246944333</v>
      </c>
      <c r="V41" s="129">
        <f t="shared" si="72"/>
        <v>126685.79729413775</v>
      </c>
      <c r="W41" s="129">
        <f t="shared" si="72"/>
        <v>127952.65526707911</v>
      </c>
      <c r="X41" s="129">
        <f t="shared" si="72"/>
        <v>129232.18181974991</v>
      </c>
      <c r="Y41" s="129">
        <f t="shared" si="72"/>
        <v>130524.5036379474</v>
      </c>
      <c r="Z41" s="129">
        <f t="shared" si="72"/>
        <v>131829.74867432687</v>
      </c>
      <c r="AA41" s="129">
        <f t="shared" si="72"/>
        <v>133148.04616107012</v>
      </c>
      <c r="AB41" s="129">
        <f t="shared" si="72"/>
        <v>134479.52662268086</v>
      </c>
      <c r="AC41" s="129">
        <f t="shared" si="72"/>
        <v>135824.32188890767</v>
      </c>
      <c r="AD41" s="129">
        <f t="shared" si="72"/>
        <v>137182.56510779672</v>
      </c>
      <c r="AE41" s="129">
        <f t="shared" si="72"/>
        <v>138554.39075887474</v>
      </c>
      <c r="AF41" s="129">
        <f t="shared" si="72"/>
        <v>139939.93466646349</v>
      </c>
      <c r="AG41" s="129">
        <f t="shared" si="72"/>
        <v>141339.33401312807</v>
      </c>
    </row>
    <row r="42" spans="2:33" x14ac:dyDescent="0.25">
      <c r="B42" t="s">
        <v>31</v>
      </c>
      <c r="C42" s="121"/>
      <c r="D42" s="14"/>
      <c r="E42" s="14"/>
      <c r="F42" s="14"/>
      <c r="G42" s="45"/>
      <c r="H42" s="46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</row>
    <row r="43" spans="2:33" x14ac:dyDescent="0.25">
      <c r="B43" s="20" t="s">
        <v>109</v>
      </c>
      <c r="C43" s="121"/>
      <c r="D43" s="129">
        <v>0</v>
      </c>
      <c r="E43" s="129">
        <v>40000</v>
      </c>
      <c r="F43" s="129">
        <f t="shared" ref="F43:AG43" si="73">E43*(1+1%)</f>
        <v>40400</v>
      </c>
      <c r="G43" s="129">
        <f t="shared" si="73"/>
        <v>40804</v>
      </c>
      <c r="H43" s="129">
        <f t="shared" si="73"/>
        <v>41212.04</v>
      </c>
      <c r="I43" s="129">
        <f t="shared" si="73"/>
        <v>41624.160400000001</v>
      </c>
      <c r="J43" s="129">
        <f t="shared" si="73"/>
        <v>42040.402004000003</v>
      </c>
      <c r="K43" s="129">
        <f t="shared" si="73"/>
        <v>42460.806024040001</v>
      </c>
      <c r="L43" s="129">
        <f t="shared" si="73"/>
        <v>42885.414084280404</v>
      </c>
      <c r="M43" s="129">
        <f t="shared" si="73"/>
        <v>43314.268225123211</v>
      </c>
      <c r="N43" s="129">
        <f t="shared" si="73"/>
        <v>43747.41090737444</v>
      </c>
      <c r="O43" s="129">
        <f t="shared" si="73"/>
        <v>44184.885016448185</v>
      </c>
      <c r="P43" s="129">
        <f t="shared" si="73"/>
        <v>44626.733866612667</v>
      </c>
      <c r="Q43" s="129">
        <f t="shared" si="73"/>
        <v>45073.001205278793</v>
      </c>
      <c r="R43" s="129">
        <f t="shared" si="73"/>
        <v>45523.73121733158</v>
      </c>
      <c r="S43" s="129">
        <f t="shared" si="73"/>
        <v>45978.968529504898</v>
      </c>
      <c r="T43" s="129">
        <f t="shared" si="73"/>
        <v>46438.758214799949</v>
      </c>
      <c r="U43" s="129">
        <f t="shared" si="73"/>
        <v>46903.145796947952</v>
      </c>
      <c r="V43" s="129">
        <f t="shared" si="73"/>
        <v>47372.177254917435</v>
      </c>
      <c r="W43" s="129">
        <f t="shared" si="73"/>
        <v>47845.899027466607</v>
      </c>
      <c r="X43" s="129">
        <f t="shared" si="73"/>
        <v>48324.358017741273</v>
      </c>
      <c r="Y43" s="129">
        <f t="shared" si="73"/>
        <v>48807.601597918685</v>
      </c>
      <c r="Z43" s="129">
        <f t="shared" si="73"/>
        <v>49295.677613897875</v>
      </c>
      <c r="AA43" s="129">
        <f t="shared" si="73"/>
        <v>49788.634390036852</v>
      </c>
      <c r="AB43" s="129">
        <f t="shared" si="73"/>
        <v>50286.520733937221</v>
      </c>
      <c r="AC43" s="129">
        <f t="shared" si="73"/>
        <v>50789.385941276596</v>
      </c>
      <c r="AD43" s="129">
        <f t="shared" si="73"/>
        <v>51297.279800689364</v>
      </c>
      <c r="AE43" s="129">
        <f t="shared" si="73"/>
        <v>51810.252598696257</v>
      </c>
      <c r="AF43" s="129">
        <f t="shared" si="73"/>
        <v>52328.355124683221</v>
      </c>
      <c r="AG43" s="129">
        <f t="shared" si="73"/>
        <v>52851.638675930051</v>
      </c>
    </row>
    <row r="44" spans="2:33" x14ac:dyDescent="0.25">
      <c r="B44" s="18" t="s">
        <v>34</v>
      </c>
      <c r="C44" s="120"/>
      <c r="D44" s="124">
        <f>D38-D39-D40-D41-D42-D43</f>
        <v>0</v>
      </c>
      <c r="E44" s="124">
        <f>E38-E39-E40-E41-E42-E43</f>
        <v>2855761.3648000001</v>
      </c>
      <c r="F44" s="124">
        <f t="shared" ref="F44:AG44" si="74">F38-F39-F40-F41-F42-F43</f>
        <v>2891693.9784479998</v>
      </c>
      <c r="G44" s="124">
        <f t="shared" si="74"/>
        <v>2895985.9182324801</v>
      </c>
      <c r="H44" s="124">
        <f t="shared" si="74"/>
        <v>2932436.7774148048</v>
      </c>
      <c r="I44" s="124">
        <f t="shared" si="74"/>
        <v>2969252.6771889534</v>
      </c>
      <c r="J44" s="124">
        <f t="shared" si="74"/>
        <v>3006437.2705248431</v>
      </c>
      <c r="K44" s="124">
        <f t="shared" si="74"/>
        <v>3043994.2469347198</v>
      </c>
      <c r="L44" s="124">
        <f t="shared" si="74"/>
        <v>3081927.3328386415</v>
      </c>
      <c r="M44" s="124">
        <f t="shared" si="74"/>
        <v>3120240.2919336217</v>
      </c>
      <c r="N44" s="124">
        <f t="shared" si="74"/>
        <v>3158936.9255664614</v>
      </c>
      <c r="O44" s="124">
        <f t="shared" si="74"/>
        <v>3198021.0731103094</v>
      </c>
      <c r="P44" s="124">
        <f t="shared" si="74"/>
        <v>3237496.6123449905</v>
      </c>
      <c r="Q44" s="124">
        <f t="shared" si="74"/>
        <v>3277367.4598411396</v>
      </c>
      <c r="R44" s="124">
        <f t="shared" si="74"/>
        <v>3317637.5713481675</v>
      </c>
      <c r="S44" s="124">
        <f t="shared" si="74"/>
        <v>3358310.9421861246</v>
      </c>
      <c r="T44" s="124">
        <f t="shared" si="74"/>
        <v>3399391.6076414585</v>
      </c>
      <c r="U44" s="124">
        <f t="shared" si="74"/>
        <v>3440883.6433667596</v>
      </c>
      <c r="V44" s="124">
        <f t="shared" si="74"/>
        <v>3482791.1657844689</v>
      </c>
      <c r="W44" s="124">
        <f t="shared" si="74"/>
        <v>3525118.3324946626</v>
      </c>
      <c r="X44" s="124">
        <f t="shared" si="74"/>
        <v>3567869.3426868855</v>
      </c>
      <c r="Y44" s="124">
        <f t="shared" si="74"/>
        <v>3611048.4375561094</v>
      </c>
      <c r="Z44" s="124">
        <f t="shared" si="74"/>
        <v>3654659.9007228632</v>
      </c>
      <c r="AA44" s="124">
        <f t="shared" si="74"/>
        <v>3698708.0586575475</v>
      </c>
      <c r="AB44" s="124">
        <f t="shared" si="74"/>
        <v>3743197.2811090113</v>
      </c>
      <c r="AC44" s="124">
        <f t="shared" si="74"/>
        <v>3788131.981537391</v>
      </c>
      <c r="AD44" s="124">
        <f t="shared" si="74"/>
        <v>3833516.6175513063</v>
      </c>
      <c r="AE44" s="124">
        <f t="shared" si="74"/>
        <v>3879355.6913494049</v>
      </c>
      <c r="AF44" s="124">
        <f t="shared" si="74"/>
        <v>3925653.7501663337</v>
      </c>
      <c r="AG44" s="124">
        <f t="shared" si="74"/>
        <v>3972415.3867231705</v>
      </c>
    </row>
    <row r="45" spans="2:33" x14ac:dyDescent="0.25">
      <c r="B45" t="s">
        <v>32</v>
      </c>
      <c r="C45" s="120"/>
      <c r="E45" s="11"/>
      <c r="F45" s="11"/>
      <c r="G45" s="45"/>
      <c r="H45" s="46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2:33" x14ac:dyDescent="0.25">
      <c r="B46" s="20" t="s">
        <v>33</v>
      </c>
      <c r="C46" s="120"/>
      <c r="D46" s="20"/>
      <c r="E46" s="21"/>
      <c r="F46" s="20"/>
      <c r="G46" s="47"/>
      <c r="H46" s="48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</row>
    <row r="47" spans="2:33" x14ac:dyDescent="0.25">
      <c r="B47" s="12" t="s">
        <v>35</v>
      </c>
      <c r="C47" s="120"/>
      <c r="D47" s="13">
        <f>D44+D45-D46</f>
        <v>0</v>
      </c>
      <c r="E47" s="138">
        <f>E44+E45-E46</f>
        <v>2855761.3648000001</v>
      </c>
      <c r="F47" s="138">
        <f t="shared" ref="F47:AG47" si="75">F44+F45-F46</f>
        <v>2891693.9784479998</v>
      </c>
      <c r="G47" s="138">
        <f t="shared" si="75"/>
        <v>2895985.9182324801</v>
      </c>
      <c r="H47" s="138">
        <f t="shared" si="75"/>
        <v>2932436.7774148048</v>
      </c>
      <c r="I47" s="138">
        <f t="shared" si="75"/>
        <v>2969252.6771889534</v>
      </c>
      <c r="J47" s="138">
        <f t="shared" si="75"/>
        <v>3006437.2705248431</v>
      </c>
      <c r="K47" s="138">
        <f t="shared" si="75"/>
        <v>3043994.2469347198</v>
      </c>
      <c r="L47" s="138">
        <f t="shared" si="75"/>
        <v>3081927.3328386415</v>
      </c>
      <c r="M47" s="138">
        <f t="shared" si="75"/>
        <v>3120240.2919336217</v>
      </c>
      <c r="N47" s="138">
        <f t="shared" si="75"/>
        <v>3158936.9255664614</v>
      </c>
      <c r="O47" s="138">
        <f t="shared" si="75"/>
        <v>3198021.0731103094</v>
      </c>
      <c r="P47" s="138">
        <f t="shared" si="75"/>
        <v>3237496.6123449905</v>
      </c>
      <c r="Q47" s="138">
        <f t="shared" si="75"/>
        <v>3277367.4598411396</v>
      </c>
      <c r="R47" s="138">
        <f t="shared" si="75"/>
        <v>3317637.5713481675</v>
      </c>
      <c r="S47" s="138">
        <f t="shared" si="75"/>
        <v>3358310.9421861246</v>
      </c>
      <c r="T47" s="138">
        <f t="shared" si="75"/>
        <v>3399391.6076414585</v>
      </c>
      <c r="U47" s="138">
        <f t="shared" si="75"/>
        <v>3440883.6433667596</v>
      </c>
      <c r="V47" s="138">
        <f t="shared" si="75"/>
        <v>3482791.1657844689</v>
      </c>
      <c r="W47" s="138">
        <f t="shared" si="75"/>
        <v>3525118.3324946626</v>
      </c>
      <c r="X47" s="138">
        <f t="shared" si="75"/>
        <v>3567869.3426868855</v>
      </c>
      <c r="Y47" s="138">
        <f t="shared" si="75"/>
        <v>3611048.4375561094</v>
      </c>
      <c r="Z47" s="138">
        <f t="shared" si="75"/>
        <v>3654659.9007228632</v>
      </c>
      <c r="AA47" s="138">
        <f t="shared" si="75"/>
        <v>3698708.0586575475</v>
      </c>
      <c r="AB47" s="138">
        <f t="shared" si="75"/>
        <v>3743197.2811090113</v>
      </c>
      <c r="AC47" s="138">
        <f t="shared" si="75"/>
        <v>3788131.981537391</v>
      </c>
      <c r="AD47" s="138">
        <f t="shared" si="75"/>
        <v>3833516.6175513063</v>
      </c>
      <c r="AE47" s="138">
        <f t="shared" si="75"/>
        <v>3879355.6913494049</v>
      </c>
      <c r="AF47" s="138">
        <f t="shared" si="75"/>
        <v>3925653.7501663337</v>
      </c>
      <c r="AG47" s="138">
        <f t="shared" si="75"/>
        <v>3972415.3867231705</v>
      </c>
    </row>
    <row r="48" spans="2:33" x14ac:dyDescent="0.25">
      <c r="B48" s="20" t="s">
        <v>36</v>
      </c>
      <c r="C48" s="120">
        <v>0.25</v>
      </c>
      <c r="D48" s="129">
        <f>$C$48*D47</f>
        <v>0</v>
      </c>
      <c r="E48" s="129">
        <f>$C$48*E47</f>
        <v>713940.34120000002</v>
      </c>
      <c r="F48" s="129">
        <f t="shared" ref="F48:AG48" si="76">$C$48*F47</f>
        <v>722923.49461199995</v>
      </c>
      <c r="G48" s="129">
        <f t="shared" si="76"/>
        <v>723996.47955812002</v>
      </c>
      <c r="H48" s="129">
        <f t="shared" si="76"/>
        <v>733109.1943537012</v>
      </c>
      <c r="I48" s="129">
        <f t="shared" si="76"/>
        <v>742313.16929723835</v>
      </c>
      <c r="J48" s="129">
        <f t="shared" si="76"/>
        <v>751609.31763121078</v>
      </c>
      <c r="K48" s="129">
        <f t="shared" si="76"/>
        <v>760998.56173367996</v>
      </c>
      <c r="L48" s="129">
        <f t="shared" si="76"/>
        <v>770481.83320966037</v>
      </c>
      <c r="M48" s="129">
        <f t="shared" si="76"/>
        <v>780060.07298340544</v>
      </c>
      <c r="N48" s="129">
        <f t="shared" si="76"/>
        <v>789734.23139161535</v>
      </c>
      <c r="O48" s="129">
        <f t="shared" si="76"/>
        <v>799505.26827757736</v>
      </c>
      <c r="P48" s="129">
        <f t="shared" si="76"/>
        <v>809374.15308624762</v>
      </c>
      <c r="Q48" s="129">
        <f t="shared" si="76"/>
        <v>819341.8649602849</v>
      </c>
      <c r="R48" s="129">
        <f t="shared" si="76"/>
        <v>829409.39283704187</v>
      </c>
      <c r="S48" s="129">
        <f t="shared" si="76"/>
        <v>839577.73554653116</v>
      </c>
      <c r="T48" s="129">
        <f t="shared" si="76"/>
        <v>849847.90191036463</v>
      </c>
      <c r="U48" s="129">
        <f t="shared" si="76"/>
        <v>860220.91084168991</v>
      </c>
      <c r="V48" s="129">
        <f t="shared" si="76"/>
        <v>870697.79144611722</v>
      </c>
      <c r="W48" s="129">
        <f t="shared" si="76"/>
        <v>881279.58312366565</v>
      </c>
      <c r="X48" s="129">
        <f t="shared" si="76"/>
        <v>891967.33567172138</v>
      </c>
      <c r="Y48" s="129">
        <f t="shared" si="76"/>
        <v>902762.10938902735</v>
      </c>
      <c r="Z48" s="129">
        <f t="shared" si="76"/>
        <v>913664.97518071579</v>
      </c>
      <c r="AA48" s="129">
        <f t="shared" si="76"/>
        <v>924677.01466438686</v>
      </c>
      <c r="AB48" s="129">
        <f t="shared" si="76"/>
        <v>935799.32027725282</v>
      </c>
      <c r="AC48" s="129">
        <f t="shared" si="76"/>
        <v>947032.99538434774</v>
      </c>
      <c r="AD48" s="129">
        <f t="shared" si="76"/>
        <v>958379.15438782657</v>
      </c>
      <c r="AE48" s="129">
        <f t="shared" si="76"/>
        <v>969838.92283735122</v>
      </c>
      <c r="AF48" s="129">
        <f t="shared" si="76"/>
        <v>981413.43754158344</v>
      </c>
      <c r="AG48" s="129">
        <f t="shared" si="76"/>
        <v>993103.84668079263</v>
      </c>
    </row>
    <row r="49" spans="2:33" x14ac:dyDescent="0.25">
      <c r="B49" s="12" t="s">
        <v>37</v>
      </c>
      <c r="C49" s="120"/>
      <c r="D49" s="13">
        <f>D47-D48</f>
        <v>0</v>
      </c>
      <c r="E49" s="138">
        <f>E47-E48</f>
        <v>2141821.0236</v>
      </c>
      <c r="F49" s="138">
        <f t="shared" ref="F49:AG49" si="77">F47-F48</f>
        <v>2168770.4838359999</v>
      </c>
      <c r="G49" s="138">
        <f t="shared" si="77"/>
        <v>2171989.43867436</v>
      </c>
      <c r="H49" s="138">
        <f t="shared" si="77"/>
        <v>2199327.5830611037</v>
      </c>
      <c r="I49" s="138">
        <f t="shared" si="77"/>
        <v>2226939.507891715</v>
      </c>
      <c r="J49" s="138">
        <f t="shared" si="77"/>
        <v>2254827.9528936325</v>
      </c>
      <c r="K49" s="138">
        <f t="shared" si="77"/>
        <v>2282995.68520104</v>
      </c>
      <c r="L49" s="138">
        <f t="shared" si="77"/>
        <v>2311445.4996289811</v>
      </c>
      <c r="M49" s="138">
        <f t="shared" si="77"/>
        <v>2340180.2189502162</v>
      </c>
      <c r="N49" s="138">
        <f t="shared" si="77"/>
        <v>2369202.6941748462</v>
      </c>
      <c r="O49" s="138">
        <f t="shared" si="77"/>
        <v>2398515.8048327323</v>
      </c>
      <c r="P49" s="138">
        <f t="shared" si="77"/>
        <v>2428122.4592587426</v>
      </c>
      <c r="Q49" s="138">
        <f t="shared" si="77"/>
        <v>2458025.5948808547</v>
      </c>
      <c r="R49" s="138">
        <f t="shared" si="77"/>
        <v>2488228.1785111255</v>
      </c>
      <c r="S49" s="138">
        <f t="shared" si="77"/>
        <v>2518733.2066395935</v>
      </c>
      <c r="T49" s="138">
        <f t="shared" si="77"/>
        <v>2549543.7057310939</v>
      </c>
      <c r="U49" s="138">
        <f t="shared" si="77"/>
        <v>2580662.7325250697</v>
      </c>
      <c r="V49" s="138">
        <f t="shared" si="77"/>
        <v>2612093.3743383517</v>
      </c>
      <c r="W49" s="138">
        <f t="shared" si="77"/>
        <v>2643838.7493709968</v>
      </c>
      <c r="X49" s="138">
        <f t="shared" si="77"/>
        <v>2675902.007015164</v>
      </c>
      <c r="Y49" s="138">
        <f t="shared" si="77"/>
        <v>2708286.3281670818</v>
      </c>
      <c r="Z49" s="138">
        <f t="shared" si="77"/>
        <v>2740994.9255421474</v>
      </c>
      <c r="AA49" s="138">
        <f t="shared" si="77"/>
        <v>2774031.0439931606</v>
      </c>
      <c r="AB49" s="138">
        <f t="shared" si="77"/>
        <v>2807397.9608317586</v>
      </c>
      <c r="AC49" s="138">
        <f t="shared" si="77"/>
        <v>2841098.9861530433</v>
      </c>
      <c r="AD49" s="138">
        <f t="shared" si="77"/>
        <v>2875137.4631634797</v>
      </c>
      <c r="AE49" s="138">
        <f t="shared" si="77"/>
        <v>2909516.7685120534</v>
      </c>
      <c r="AF49" s="138">
        <f t="shared" si="77"/>
        <v>2944240.3126247502</v>
      </c>
      <c r="AG49" s="138">
        <f t="shared" si="77"/>
        <v>2979311.540042378</v>
      </c>
    </row>
    <row r="50" spans="2:33" x14ac:dyDescent="0.25">
      <c r="B50" s="23"/>
      <c r="C50" s="128"/>
      <c r="D50" s="24"/>
      <c r="E50" s="24"/>
      <c r="F50" s="24"/>
      <c r="G50" s="53"/>
      <c r="H50" s="54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</row>
    <row r="51" spans="2:33" x14ac:dyDescent="0.25">
      <c r="B51" s="12" t="s">
        <v>38</v>
      </c>
      <c r="D51" s="12"/>
      <c r="E51" s="12"/>
      <c r="F51" s="12"/>
      <c r="G51" s="55"/>
      <c r="H51" s="56"/>
    </row>
    <row r="52" spans="2:33" x14ac:dyDescent="0.25">
      <c r="B52" s="37"/>
      <c r="C52" s="122"/>
      <c r="D52" s="112">
        <f>DATE(2023,1,1)</f>
        <v>44927</v>
      </c>
      <c r="E52" s="112">
        <f>DATE(YEAR(D52)+1,MONTH(D52),DAY(D52))</f>
        <v>45292</v>
      </c>
      <c r="F52" s="112">
        <f t="shared" ref="F52:AG52" si="78">DATE(YEAR(E52)+1,MONTH(E52),DAY(E52))</f>
        <v>45658</v>
      </c>
      <c r="G52" s="112">
        <f t="shared" si="78"/>
        <v>46023</v>
      </c>
      <c r="H52" s="112">
        <f t="shared" si="78"/>
        <v>46388</v>
      </c>
      <c r="I52" s="112">
        <f t="shared" si="78"/>
        <v>46753</v>
      </c>
      <c r="J52" s="112">
        <f t="shared" si="78"/>
        <v>47119</v>
      </c>
      <c r="K52" s="112">
        <f t="shared" si="78"/>
        <v>47484</v>
      </c>
      <c r="L52" s="112">
        <f t="shared" si="78"/>
        <v>47849</v>
      </c>
      <c r="M52" s="112">
        <f>DATE(YEAR(L52)+1,MONTH(L52),DAY(L52))</f>
        <v>48214</v>
      </c>
      <c r="N52" s="112">
        <f t="shared" si="78"/>
        <v>48580</v>
      </c>
      <c r="O52" s="112">
        <f t="shared" si="78"/>
        <v>48945</v>
      </c>
      <c r="P52" s="112">
        <f t="shared" si="78"/>
        <v>49310</v>
      </c>
      <c r="Q52" s="112">
        <f t="shared" si="78"/>
        <v>49675</v>
      </c>
      <c r="R52" s="112">
        <f t="shared" si="78"/>
        <v>50041</v>
      </c>
      <c r="S52" s="112">
        <f t="shared" si="78"/>
        <v>50406</v>
      </c>
      <c r="T52" s="112">
        <f>DATE(YEAR(S52)+1,MONTH(S52),DAY(S52))</f>
        <v>50771</v>
      </c>
      <c r="U52" s="112">
        <f t="shared" si="78"/>
        <v>51136</v>
      </c>
      <c r="V52" s="112">
        <f t="shared" si="78"/>
        <v>51502</v>
      </c>
      <c r="W52" s="112">
        <f t="shared" si="78"/>
        <v>51867</v>
      </c>
      <c r="X52" s="112">
        <f t="shared" si="78"/>
        <v>52232</v>
      </c>
      <c r="Y52" s="112">
        <f t="shared" si="78"/>
        <v>52597</v>
      </c>
      <c r="Z52" s="112">
        <f t="shared" si="78"/>
        <v>52963</v>
      </c>
      <c r="AA52" s="112">
        <f>DATE(YEAR(Z52)+1,MONTH(Z52),DAY(Z52))</f>
        <v>53328</v>
      </c>
      <c r="AB52" s="112">
        <f t="shared" si="78"/>
        <v>53693</v>
      </c>
      <c r="AC52" s="112">
        <f t="shared" si="78"/>
        <v>54058</v>
      </c>
      <c r="AD52" s="112">
        <f t="shared" si="78"/>
        <v>54424</v>
      </c>
      <c r="AE52" s="112">
        <f t="shared" si="78"/>
        <v>54789</v>
      </c>
      <c r="AF52" s="112">
        <f t="shared" si="78"/>
        <v>55154</v>
      </c>
      <c r="AG52" s="112">
        <f t="shared" si="78"/>
        <v>55519</v>
      </c>
    </row>
    <row r="53" spans="2:33" x14ac:dyDescent="0.25">
      <c r="B53" s="18" t="s">
        <v>40</v>
      </c>
      <c r="C53" s="29"/>
      <c r="D53" s="124">
        <f>D49</f>
        <v>0</v>
      </c>
      <c r="E53" s="124">
        <f t="shared" ref="E53:AG53" si="79">E49</f>
        <v>2141821.0236</v>
      </c>
      <c r="F53" s="124">
        <f t="shared" si="79"/>
        <v>2168770.4838359999</v>
      </c>
      <c r="G53" s="124">
        <f t="shared" si="79"/>
        <v>2171989.43867436</v>
      </c>
      <c r="H53" s="124">
        <f t="shared" si="79"/>
        <v>2199327.5830611037</v>
      </c>
      <c r="I53" s="124">
        <f t="shared" si="79"/>
        <v>2226939.507891715</v>
      </c>
      <c r="J53" s="124">
        <f t="shared" si="79"/>
        <v>2254827.9528936325</v>
      </c>
      <c r="K53" s="124">
        <f t="shared" si="79"/>
        <v>2282995.68520104</v>
      </c>
      <c r="L53" s="124">
        <f t="shared" si="79"/>
        <v>2311445.4996289811</v>
      </c>
      <c r="M53" s="124">
        <f t="shared" si="79"/>
        <v>2340180.2189502162</v>
      </c>
      <c r="N53" s="124">
        <f t="shared" si="79"/>
        <v>2369202.6941748462</v>
      </c>
      <c r="O53" s="124">
        <f t="shared" si="79"/>
        <v>2398515.8048327323</v>
      </c>
      <c r="P53" s="124">
        <f t="shared" si="79"/>
        <v>2428122.4592587426</v>
      </c>
      <c r="Q53" s="124">
        <f t="shared" si="79"/>
        <v>2458025.5948808547</v>
      </c>
      <c r="R53" s="124">
        <f t="shared" si="79"/>
        <v>2488228.1785111255</v>
      </c>
      <c r="S53" s="124">
        <f t="shared" si="79"/>
        <v>2518733.2066395935</v>
      </c>
      <c r="T53" s="124">
        <f t="shared" si="79"/>
        <v>2549543.7057310939</v>
      </c>
      <c r="U53" s="124">
        <f t="shared" si="79"/>
        <v>2580662.7325250697</v>
      </c>
      <c r="V53" s="124">
        <f t="shared" si="79"/>
        <v>2612093.3743383517</v>
      </c>
      <c r="W53" s="124">
        <f t="shared" si="79"/>
        <v>2643838.7493709968</v>
      </c>
      <c r="X53" s="124">
        <f t="shared" si="79"/>
        <v>2675902.007015164</v>
      </c>
      <c r="Y53" s="124">
        <f t="shared" si="79"/>
        <v>2708286.3281670818</v>
      </c>
      <c r="Z53" s="124">
        <f t="shared" si="79"/>
        <v>2740994.9255421474</v>
      </c>
      <c r="AA53" s="124">
        <f t="shared" si="79"/>
        <v>2774031.0439931606</v>
      </c>
      <c r="AB53" s="124">
        <f t="shared" si="79"/>
        <v>2807397.9608317586</v>
      </c>
      <c r="AC53" s="124">
        <f t="shared" si="79"/>
        <v>2841098.9861530433</v>
      </c>
      <c r="AD53" s="124">
        <f t="shared" si="79"/>
        <v>2875137.4631634797</v>
      </c>
      <c r="AE53" s="124">
        <f t="shared" si="79"/>
        <v>2909516.7685120534</v>
      </c>
      <c r="AF53" s="124">
        <f t="shared" si="79"/>
        <v>2944240.3126247502</v>
      </c>
      <c r="AG53" s="124">
        <f t="shared" si="79"/>
        <v>2979311.540042378</v>
      </c>
    </row>
    <row r="54" spans="2:33" x14ac:dyDescent="0.25">
      <c r="B54" t="s">
        <v>41</v>
      </c>
      <c r="D54" s="126">
        <f>D40</f>
        <v>0</v>
      </c>
      <c r="E54" s="126">
        <f>E40</f>
        <v>737500</v>
      </c>
      <c r="F54" s="126">
        <f t="shared" ref="F54:AG54" si="80">F40</f>
        <v>737500</v>
      </c>
      <c r="G54" s="126">
        <f t="shared" si="80"/>
        <v>737500</v>
      </c>
      <c r="H54" s="126">
        <f t="shared" si="80"/>
        <v>737500</v>
      </c>
      <c r="I54" s="126">
        <f t="shared" si="80"/>
        <v>737500</v>
      </c>
      <c r="J54" s="126">
        <f t="shared" si="80"/>
        <v>737500</v>
      </c>
      <c r="K54" s="126">
        <f t="shared" si="80"/>
        <v>737500</v>
      </c>
      <c r="L54" s="126">
        <f t="shared" si="80"/>
        <v>737500</v>
      </c>
      <c r="M54" s="126">
        <f t="shared" si="80"/>
        <v>737500</v>
      </c>
      <c r="N54" s="126">
        <f t="shared" si="80"/>
        <v>737500</v>
      </c>
      <c r="O54" s="126">
        <f t="shared" si="80"/>
        <v>737500</v>
      </c>
      <c r="P54" s="126">
        <f t="shared" si="80"/>
        <v>737500</v>
      </c>
      <c r="Q54" s="126">
        <f t="shared" si="80"/>
        <v>737500</v>
      </c>
      <c r="R54" s="126">
        <f t="shared" si="80"/>
        <v>737500</v>
      </c>
      <c r="S54" s="126">
        <f t="shared" si="80"/>
        <v>737500</v>
      </c>
      <c r="T54" s="126">
        <f t="shared" si="80"/>
        <v>737500</v>
      </c>
      <c r="U54" s="126">
        <f t="shared" si="80"/>
        <v>737500</v>
      </c>
      <c r="V54" s="126">
        <f t="shared" si="80"/>
        <v>737500</v>
      </c>
      <c r="W54" s="126">
        <f t="shared" si="80"/>
        <v>737500</v>
      </c>
      <c r="X54" s="126">
        <f t="shared" si="80"/>
        <v>737500</v>
      </c>
      <c r="Y54" s="126">
        <f t="shared" si="80"/>
        <v>737500</v>
      </c>
      <c r="Z54" s="126">
        <f t="shared" si="80"/>
        <v>737500</v>
      </c>
      <c r="AA54" s="126">
        <f t="shared" si="80"/>
        <v>737500</v>
      </c>
      <c r="AB54" s="126">
        <f t="shared" si="80"/>
        <v>737500</v>
      </c>
      <c r="AC54" s="126">
        <f t="shared" si="80"/>
        <v>737500</v>
      </c>
      <c r="AD54" s="126">
        <f t="shared" si="80"/>
        <v>737500</v>
      </c>
      <c r="AE54" s="126">
        <f t="shared" si="80"/>
        <v>737500</v>
      </c>
      <c r="AF54" s="126">
        <f t="shared" si="80"/>
        <v>737500</v>
      </c>
      <c r="AG54" s="126">
        <f t="shared" si="80"/>
        <v>737500</v>
      </c>
    </row>
    <row r="55" spans="2:33" x14ac:dyDescent="0.25">
      <c r="B55" s="20" t="s">
        <v>39</v>
      </c>
      <c r="C55" s="29"/>
      <c r="D55" s="20"/>
      <c r="E55" s="20"/>
      <c r="F55" s="20"/>
      <c r="G55" s="49"/>
      <c r="H55" s="50"/>
      <c r="I55" s="22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</row>
    <row r="56" spans="2:33" x14ac:dyDescent="0.25">
      <c r="B56" t="s">
        <v>42</v>
      </c>
      <c r="D56" s="126">
        <f>D48</f>
        <v>0</v>
      </c>
      <c r="E56" s="126">
        <f>E48</f>
        <v>713940.34120000002</v>
      </c>
      <c r="F56" s="126">
        <f t="shared" ref="F56:AG56" si="81">F48</f>
        <v>722923.49461199995</v>
      </c>
      <c r="G56" s="126">
        <f t="shared" si="81"/>
        <v>723996.47955812002</v>
      </c>
      <c r="H56" s="126">
        <f t="shared" si="81"/>
        <v>733109.1943537012</v>
      </c>
      <c r="I56" s="126">
        <f t="shared" si="81"/>
        <v>742313.16929723835</v>
      </c>
      <c r="J56" s="126">
        <f t="shared" si="81"/>
        <v>751609.31763121078</v>
      </c>
      <c r="K56" s="126">
        <f t="shared" si="81"/>
        <v>760998.56173367996</v>
      </c>
      <c r="L56" s="126">
        <f t="shared" si="81"/>
        <v>770481.83320966037</v>
      </c>
      <c r="M56" s="126">
        <f t="shared" si="81"/>
        <v>780060.07298340544</v>
      </c>
      <c r="N56" s="126">
        <f t="shared" si="81"/>
        <v>789734.23139161535</v>
      </c>
      <c r="O56" s="126">
        <f t="shared" si="81"/>
        <v>799505.26827757736</v>
      </c>
      <c r="P56" s="126">
        <f t="shared" si="81"/>
        <v>809374.15308624762</v>
      </c>
      <c r="Q56" s="126">
        <f t="shared" si="81"/>
        <v>819341.8649602849</v>
      </c>
      <c r="R56" s="126">
        <f t="shared" si="81"/>
        <v>829409.39283704187</v>
      </c>
      <c r="S56" s="126">
        <f t="shared" si="81"/>
        <v>839577.73554653116</v>
      </c>
      <c r="T56" s="126">
        <f t="shared" si="81"/>
        <v>849847.90191036463</v>
      </c>
      <c r="U56" s="126">
        <f t="shared" si="81"/>
        <v>860220.91084168991</v>
      </c>
      <c r="V56" s="126">
        <f t="shared" si="81"/>
        <v>870697.79144611722</v>
      </c>
      <c r="W56" s="126">
        <f t="shared" si="81"/>
        <v>881279.58312366565</v>
      </c>
      <c r="X56" s="126">
        <f t="shared" si="81"/>
        <v>891967.33567172138</v>
      </c>
      <c r="Y56" s="126">
        <f t="shared" si="81"/>
        <v>902762.10938902735</v>
      </c>
      <c r="Z56" s="126">
        <f t="shared" si="81"/>
        <v>913664.97518071579</v>
      </c>
      <c r="AA56" s="126">
        <f t="shared" si="81"/>
        <v>924677.01466438686</v>
      </c>
      <c r="AB56" s="126">
        <f t="shared" si="81"/>
        <v>935799.32027725282</v>
      </c>
      <c r="AC56" s="126">
        <f t="shared" si="81"/>
        <v>947032.99538434774</v>
      </c>
      <c r="AD56" s="126">
        <f t="shared" si="81"/>
        <v>958379.15438782657</v>
      </c>
      <c r="AE56" s="126">
        <f t="shared" si="81"/>
        <v>969838.92283735122</v>
      </c>
      <c r="AF56" s="126">
        <f t="shared" si="81"/>
        <v>981413.43754158344</v>
      </c>
      <c r="AG56" s="126">
        <f t="shared" si="81"/>
        <v>993103.84668079263</v>
      </c>
    </row>
    <row r="57" spans="2:33" x14ac:dyDescent="0.25">
      <c r="B57" s="18" t="s">
        <v>57</v>
      </c>
      <c r="C57" s="29"/>
      <c r="D57" s="124">
        <f>SUM(D53:D56)</f>
        <v>0</v>
      </c>
      <c r="E57" s="124">
        <f>SUM(E53:E56)</f>
        <v>3593261.3648000001</v>
      </c>
      <c r="F57" s="124">
        <f t="shared" ref="F57:AG57" si="82">SUM(F53:F56)</f>
        <v>3629193.9784479998</v>
      </c>
      <c r="G57" s="124">
        <f t="shared" si="82"/>
        <v>3633485.9182324801</v>
      </c>
      <c r="H57" s="124">
        <f t="shared" si="82"/>
        <v>3669936.7774148048</v>
      </c>
      <c r="I57" s="124">
        <f t="shared" si="82"/>
        <v>3706752.6771889534</v>
      </c>
      <c r="J57" s="124">
        <f t="shared" si="82"/>
        <v>3743937.2705248431</v>
      </c>
      <c r="K57" s="124">
        <f t="shared" si="82"/>
        <v>3781494.2469347198</v>
      </c>
      <c r="L57" s="124">
        <f t="shared" si="82"/>
        <v>3819427.3328386415</v>
      </c>
      <c r="M57" s="124">
        <f t="shared" si="82"/>
        <v>3857740.2919336217</v>
      </c>
      <c r="N57" s="124">
        <f t="shared" si="82"/>
        <v>3896436.9255664614</v>
      </c>
      <c r="O57" s="124">
        <f t="shared" si="82"/>
        <v>3935521.0731103094</v>
      </c>
      <c r="P57" s="124">
        <f t="shared" si="82"/>
        <v>3974996.6123449905</v>
      </c>
      <c r="Q57" s="124">
        <f t="shared" si="82"/>
        <v>4014867.4598411396</v>
      </c>
      <c r="R57" s="124">
        <f t="shared" si="82"/>
        <v>4055137.5713481675</v>
      </c>
      <c r="S57" s="124">
        <f t="shared" si="82"/>
        <v>4095810.9421861246</v>
      </c>
      <c r="T57" s="124">
        <f t="shared" si="82"/>
        <v>4136891.6076414585</v>
      </c>
      <c r="U57" s="124">
        <f t="shared" si="82"/>
        <v>4178383.6433667596</v>
      </c>
      <c r="V57" s="124">
        <f t="shared" si="82"/>
        <v>4220291.1657844689</v>
      </c>
      <c r="W57" s="124">
        <f t="shared" si="82"/>
        <v>4262618.3324946621</v>
      </c>
      <c r="X57" s="124">
        <f t="shared" si="82"/>
        <v>4305369.342686885</v>
      </c>
      <c r="Y57" s="124">
        <f t="shared" si="82"/>
        <v>4348548.4375561094</v>
      </c>
      <c r="Z57" s="124">
        <f t="shared" si="82"/>
        <v>4392159.9007228632</v>
      </c>
      <c r="AA57" s="124">
        <f t="shared" si="82"/>
        <v>4436208.0586575475</v>
      </c>
      <c r="AB57" s="124">
        <f t="shared" si="82"/>
        <v>4480697.2811090117</v>
      </c>
      <c r="AC57" s="124">
        <f t="shared" si="82"/>
        <v>4525631.9815373914</v>
      </c>
      <c r="AD57" s="124">
        <f t="shared" si="82"/>
        <v>4571016.6175513063</v>
      </c>
      <c r="AE57" s="124">
        <f t="shared" si="82"/>
        <v>4616855.6913494049</v>
      </c>
      <c r="AF57" s="124">
        <f t="shared" si="82"/>
        <v>4663153.7501663333</v>
      </c>
      <c r="AG57" s="124">
        <f t="shared" si="82"/>
        <v>4709915.386723171</v>
      </c>
    </row>
    <row r="58" spans="2:33" x14ac:dyDescent="0.25">
      <c r="B58" s="12" t="s">
        <v>43</v>
      </c>
      <c r="D58" s="12"/>
      <c r="E58" s="12"/>
      <c r="F58" s="12"/>
      <c r="G58" s="51">
        <f>SUM(G59:G65,G70)</f>
        <v>-914197097.15044188</v>
      </c>
      <c r="H58" s="52">
        <f>SUM(H59:H65,H70)</f>
        <v>733109.1943537012</v>
      </c>
      <c r="I58" s="84">
        <f>SUM(I59:I65,I70)</f>
        <v>742313.16929723835</v>
      </c>
      <c r="J58" s="84">
        <f t="shared" ref="J58:AG58" si="83">SUM(J59:J65,J70)</f>
        <v>751609.31763121078</v>
      </c>
      <c r="K58" s="84">
        <f t="shared" si="83"/>
        <v>760998.56173367996</v>
      </c>
      <c r="L58" s="84">
        <f t="shared" si="83"/>
        <v>770481.83320966037</v>
      </c>
      <c r="M58" s="84">
        <f t="shared" si="83"/>
        <v>780060.07298340544</v>
      </c>
      <c r="N58" s="84">
        <f t="shared" si="83"/>
        <v>789734.23139161535</v>
      </c>
      <c r="O58" s="84">
        <f t="shared" si="83"/>
        <v>799505.26827757736</v>
      </c>
      <c r="P58" s="84">
        <f t="shared" si="83"/>
        <v>809374.15308624762</v>
      </c>
      <c r="Q58" s="84">
        <f t="shared" si="83"/>
        <v>819341.8649602849</v>
      </c>
      <c r="R58" s="84">
        <f t="shared" si="83"/>
        <v>829409.39283704187</v>
      </c>
      <c r="S58" s="84">
        <f t="shared" si="83"/>
        <v>839577.73554653116</v>
      </c>
      <c r="T58" s="84">
        <f t="shared" si="83"/>
        <v>849847.90191036463</v>
      </c>
      <c r="U58" s="84">
        <f t="shared" si="83"/>
        <v>860220.91084168991</v>
      </c>
      <c r="V58" s="84">
        <f t="shared" si="83"/>
        <v>870697.79144611722</v>
      </c>
      <c r="W58" s="84">
        <f t="shared" si="83"/>
        <v>881279.58312366565</v>
      </c>
      <c r="X58" s="84">
        <f t="shared" si="83"/>
        <v>891967.33567172138</v>
      </c>
      <c r="Y58" s="84">
        <f t="shared" si="83"/>
        <v>902762.10938902735</v>
      </c>
      <c r="Z58" s="84">
        <f t="shared" si="83"/>
        <v>913664.97518071579</v>
      </c>
      <c r="AA58" s="84">
        <f t="shared" si="83"/>
        <v>924677.01466438686</v>
      </c>
      <c r="AB58" s="84">
        <f t="shared" si="83"/>
        <v>935799.32027725282</v>
      </c>
      <c r="AC58" s="84">
        <f t="shared" si="83"/>
        <v>947032.99538434774</v>
      </c>
      <c r="AD58" s="84">
        <f t="shared" si="83"/>
        <v>958379.15438782657</v>
      </c>
      <c r="AE58" s="84">
        <f t="shared" si="83"/>
        <v>969838.92283735122</v>
      </c>
      <c r="AF58" s="84">
        <f t="shared" si="83"/>
        <v>981413.43754158344</v>
      </c>
      <c r="AG58" s="84">
        <f t="shared" si="83"/>
        <v>993103.84668079263</v>
      </c>
    </row>
    <row r="59" spans="2:33" x14ac:dyDescent="0.25">
      <c r="B59" s="20" t="s">
        <v>44</v>
      </c>
      <c r="C59" s="29"/>
      <c r="D59" s="20"/>
      <c r="E59" s="20"/>
      <c r="F59" s="20"/>
      <c r="G59" s="47">
        <v>-914921093.63</v>
      </c>
      <c r="H59" s="50"/>
      <c r="I59" s="22">
        <f>$H$59</f>
        <v>0</v>
      </c>
      <c r="J59" s="22">
        <f t="shared" ref="J59:AG59" si="84">$H$59</f>
        <v>0</v>
      </c>
      <c r="K59" s="22">
        <f t="shared" si="84"/>
        <v>0</v>
      </c>
      <c r="L59" s="22">
        <f t="shared" si="84"/>
        <v>0</v>
      </c>
      <c r="M59" s="22">
        <f t="shared" si="84"/>
        <v>0</v>
      </c>
      <c r="N59" s="22">
        <f t="shared" si="84"/>
        <v>0</v>
      </c>
      <c r="O59" s="22">
        <f t="shared" si="84"/>
        <v>0</v>
      </c>
      <c r="P59" s="22">
        <f t="shared" si="84"/>
        <v>0</v>
      </c>
      <c r="Q59" s="22">
        <f t="shared" si="84"/>
        <v>0</v>
      </c>
      <c r="R59" s="22">
        <f t="shared" si="84"/>
        <v>0</v>
      </c>
      <c r="S59" s="22">
        <f t="shared" si="84"/>
        <v>0</v>
      </c>
      <c r="T59" s="22">
        <f t="shared" si="84"/>
        <v>0</v>
      </c>
      <c r="U59" s="22">
        <f t="shared" si="84"/>
        <v>0</v>
      </c>
      <c r="V59" s="22">
        <f t="shared" si="84"/>
        <v>0</v>
      </c>
      <c r="W59" s="22">
        <f t="shared" si="84"/>
        <v>0</v>
      </c>
      <c r="X59" s="22">
        <f t="shared" si="84"/>
        <v>0</v>
      </c>
      <c r="Y59" s="22">
        <f t="shared" si="84"/>
        <v>0</v>
      </c>
      <c r="Z59" s="22">
        <f t="shared" si="84"/>
        <v>0</v>
      </c>
      <c r="AA59" s="22">
        <f t="shared" si="84"/>
        <v>0</v>
      </c>
      <c r="AB59" s="22">
        <f t="shared" si="84"/>
        <v>0</v>
      </c>
      <c r="AC59" s="22">
        <f t="shared" si="84"/>
        <v>0</v>
      </c>
      <c r="AD59" s="22">
        <f t="shared" si="84"/>
        <v>0</v>
      </c>
      <c r="AE59" s="22">
        <f t="shared" si="84"/>
        <v>0</v>
      </c>
      <c r="AF59" s="22">
        <f t="shared" si="84"/>
        <v>0</v>
      </c>
      <c r="AG59" s="22">
        <f t="shared" si="84"/>
        <v>0</v>
      </c>
    </row>
    <row r="60" spans="2:33" x14ac:dyDescent="0.25">
      <c r="B60" t="s">
        <v>45</v>
      </c>
      <c r="G60" s="55"/>
      <c r="H60" s="56"/>
    </row>
    <row r="61" spans="2:33" x14ac:dyDescent="0.25">
      <c r="B61" s="20" t="s">
        <v>46</v>
      </c>
      <c r="C61" s="29"/>
      <c r="D61" s="20"/>
      <c r="E61" s="20"/>
      <c r="F61" s="20"/>
      <c r="G61" s="49"/>
      <c r="H61" s="50"/>
      <c r="I61" s="22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</row>
    <row r="62" spans="2:33" x14ac:dyDescent="0.25">
      <c r="B62" t="s">
        <v>47</v>
      </c>
      <c r="G62" s="55"/>
      <c r="H62" s="56"/>
    </row>
    <row r="63" spans="2:33" x14ac:dyDescent="0.25">
      <c r="B63" s="20" t="s">
        <v>48</v>
      </c>
      <c r="C63" s="29"/>
      <c r="D63" s="129">
        <f>D48</f>
        <v>0</v>
      </c>
      <c r="E63" s="129">
        <f t="shared" ref="E63:AG63" si="85">E48</f>
        <v>713940.34120000002</v>
      </c>
      <c r="F63" s="129">
        <f t="shared" si="85"/>
        <v>722923.49461199995</v>
      </c>
      <c r="G63" s="129">
        <f t="shared" si="85"/>
        <v>723996.47955812002</v>
      </c>
      <c r="H63" s="129">
        <f t="shared" si="85"/>
        <v>733109.1943537012</v>
      </c>
      <c r="I63" s="129">
        <f t="shared" si="85"/>
        <v>742313.16929723835</v>
      </c>
      <c r="J63" s="129">
        <f t="shared" si="85"/>
        <v>751609.31763121078</v>
      </c>
      <c r="K63" s="129">
        <f t="shared" si="85"/>
        <v>760998.56173367996</v>
      </c>
      <c r="L63" s="129">
        <f t="shared" si="85"/>
        <v>770481.83320966037</v>
      </c>
      <c r="M63" s="129">
        <f t="shared" si="85"/>
        <v>780060.07298340544</v>
      </c>
      <c r="N63" s="129">
        <f t="shared" si="85"/>
        <v>789734.23139161535</v>
      </c>
      <c r="O63" s="129">
        <f t="shared" si="85"/>
        <v>799505.26827757736</v>
      </c>
      <c r="P63" s="129">
        <f t="shared" si="85"/>
        <v>809374.15308624762</v>
      </c>
      <c r="Q63" s="129">
        <f t="shared" si="85"/>
        <v>819341.8649602849</v>
      </c>
      <c r="R63" s="129">
        <f t="shared" si="85"/>
        <v>829409.39283704187</v>
      </c>
      <c r="S63" s="129">
        <f t="shared" si="85"/>
        <v>839577.73554653116</v>
      </c>
      <c r="T63" s="129">
        <f t="shared" si="85"/>
        <v>849847.90191036463</v>
      </c>
      <c r="U63" s="129">
        <f t="shared" si="85"/>
        <v>860220.91084168991</v>
      </c>
      <c r="V63" s="129">
        <f t="shared" si="85"/>
        <v>870697.79144611722</v>
      </c>
      <c r="W63" s="129">
        <f t="shared" si="85"/>
        <v>881279.58312366565</v>
      </c>
      <c r="X63" s="129">
        <f t="shared" si="85"/>
        <v>891967.33567172138</v>
      </c>
      <c r="Y63" s="129">
        <f t="shared" si="85"/>
        <v>902762.10938902735</v>
      </c>
      <c r="Z63" s="129">
        <f t="shared" si="85"/>
        <v>913664.97518071579</v>
      </c>
      <c r="AA63" s="129">
        <f t="shared" si="85"/>
        <v>924677.01466438686</v>
      </c>
      <c r="AB63" s="129">
        <f t="shared" si="85"/>
        <v>935799.32027725282</v>
      </c>
      <c r="AC63" s="129">
        <f t="shared" si="85"/>
        <v>947032.99538434774</v>
      </c>
      <c r="AD63" s="129">
        <f t="shared" si="85"/>
        <v>958379.15438782657</v>
      </c>
      <c r="AE63" s="129">
        <f t="shared" si="85"/>
        <v>969838.92283735122</v>
      </c>
      <c r="AF63" s="129">
        <f t="shared" si="85"/>
        <v>981413.43754158344</v>
      </c>
      <c r="AG63" s="129">
        <f t="shared" si="85"/>
        <v>993103.84668079263</v>
      </c>
    </row>
    <row r="64" spans="2:33" x14ac:dyDescent="0.25">
      <c r="B64" t="s">
        <v>49</v>
      </c>
      <c r="G64" s="45"/>
      <c r="H64" s="46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  <c r="AG64" s="32"/>
    </row>
    <row r="65" spans="2:33" x14ac:dyDescent="0.25">
      <c r="B65" s="20" t="s">
        <v>50</v>
      </c>
      <c r="C65" s="29"/>
      <c r="D65" s="20"/>
      <c r="E65" s="20"/>
      <c r="F65" s="20"/>
      <c r="G65" s="47"/>
      <c r="H65" s="48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</row>
    <row r="66" spans="2:33" x14ac:dyDescent="0.25">
      <c r="B66" t="s">
        <v>51</v>
      </c>
      <c r="G66" s="55"/>
      <c r="H66" s="56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2"/>
      <c r="AD66" s="32"/>
      <c r="AE66" s="32"/>
      <c r="AF66" s="32"/>
      <c r="AG66" s="32"/>
    </row>
    <row r="67" spans="2:33" x14ac:dyDescent="0.25">
      <c r="B67" t="s">
        <v>52</v>
      </c>
      <c r="G67" s="55"/>
      <c r="H67" s="56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2"/>
      <c r="AA67" s="32"/>
      <c r="AB67" s="32"/>
      <c r="AC67" s="32"/>
      <c r="AD67" s="32"/>
      <c r="AE67" s="32"/>
      <c r="AF67" s="32"/>
      <c r="AG67" s="32"/>
    </row>
    <row r="68" spans="2:33" x14ac:dyDescent="0.25">
      <c r="B68" t="s">
        <v>53</v>
      </c>
      <c r="G68" s="45"/>
      <c r="H68" s="46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2"/>
      <c r="W68" s="32"/>
      <c r="X68" s="32"/>
      <c r="Y68" s="32"/>
      <c r="Z68" s="32"/>
      <c r="AA68" s="32"/>
      <c r="AB68" s="32"/>
      <c r="AC68" s="32"/>
      <c r="AD68" s="32"/>
      <c r="AE68" s="32"/>
      <c r="AF68" s="32"/>
      <c r="AG68" s="32"/>
    </row>
    <row r="69" spans="2:33" x14ac:dyDescent="0.25">
      <c r="B69" s="20" t="s">
        <v>54</v>
      </c>
      <c r="C69" s="29"/>
      <c r="D69" s="20"/>
      <c r="E69" s="20"/>
      <c r="F69" s="20"/>
      <c r="G69" s="47"/>
      <c r="H69" s="50"/>
      <c r="I69" s="26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2:33" x14ac:dyDescent="0.25">
      <c r="B70" t="s">
        <v>55</v>
      </c>
      <c r="G70" s="45"/>
      <c r="H70" s="46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</row>
    <row r="71" spans="2:33" x14ac:dyDescent="0.25">
      <c r="B71" s="12" t="s">
        <v>56</v>
      </c>
      <c r="D71" s="138">
        <f>D57-D63</f>
        <v>0</v>
      </c>
      <c r="E71" s="138">
        <f>E57-E63</f>
        <v>2879321.0236</v>
      </c>
      <c r="F71" s="138">
        <f>F57-F63</f>
        <v>2906270.4838359999</v>
      </c>
      <c r="G71" s="138">
        <f>G57-G63</f>
        <v>2909489.43867436</v>
      </c>
      <c r="H71" s="138">
        <f t="shared" ref="H71:AG71" si="86">H57-H63</f>
        <v>2936827.5830611037</v>
      </c>
      <c r="I71" s="138">
        <f t="shared" si="86"/>
        <v>2964439.507891715</v>
      </c>
      <c r="J71" s="138">
        <f t="shared" si="86"/>
        <v>2992327.9528936325</v>
      </c>
      <c r="K71" s="138">
        <f t="shared" si="86"/>
        <v>3020495.68520104</v>
      </c>
      <c r="L71" s="138">
        <f t="shared" si="86"/>
        <v>3048945.4996289811</v>
      </c>
      <c r="M71" s="138">
        <f t="shared" si="86"/>
        <v>3077680.2189502162</v>
      </c>
      <c r="N71" s="138">
        <f t="shared" si="86"/>
        <v>3106702.6941748462</v>
      </c>
      <c r="O71" s="138">
        <f t="shared" si="86"/>
        <v>3136015.8048327323</v>
      </c>
      <c r="P71" s="138">
        <f t="shared" si="86"/>
        <v>3165622.4592587426</v>
      </c>
      <c r="Q71" s="138">
        <f t="shared" si="86"/>
        <v>3195525.5948808547</v>
      </c>
      <c r="R71" s="138">
        <f t="shared" si="86"/>
        <v>3225728.1785111255</v>
      </c>
      <c r="S71" s="138">
        <f t="shared" si="86"/>
        <v>3256233.2066395935</v>
      </c>
      <c r="T71" s="138">
        <f t="shared" si="86"/>
        <v>3287043.7057310939</v>
      </c>
      <c r="U71" s="138">
        <f t="shared" si="86"/>
        <v>3318162.7325250697</v>
      </c>
      <c r="V71" s="138">
        <f t="shared" si="86"/>
        <v>3349593.3743383517</v>
      </c>
      <c r="W71" s="138">
        <f t="shared" si="86"/>
        <v>3381338.7493709964</v>
      </c>
      <c r="X71" s="138">
        <f t="shared" si="86"/>
        <v>3413402.0070151635</v>
      </c>
      <c r="Y71" s="138">
        <f t="shared" si="86"/>
        <v>3445786.3281670818</v>
      </c>
      <c r="Z71" s="138">
        <f t="shared" si="86"/>
        <v>3478494.9255421474</v>
      </c>
      <c r="AA71" s="138">
        <f t="shared" si="86"/>
        <v>3511531.0439931606</v>
      </c>
      <c r="AB71" s="138">
        <f t="shared" si="86"/>
        <v>3544897.960831759</v>
      </c>
      <c r="AC71" s="138">
        <f t="shared" si="86"/>
        <v>3578598.9861530438</v>
      </c>
      <c r="AD71" s="138">
        <f t="shared" si="86"/>
        <v>3612637.4631634797</v>
      </c>
      <c r="AE71" s="138">
        <f t="shared" si="86"/>
        <v>3647016.7685120534</v>
      </c>
      <c r="AF71" s="138">
        <f t="shared" si="86"/>
        <v>3681740.3126247497</v>
      </c>
      <c r="AG71" s="138">
        <f t="shared" si="86"/>
        <v>3716811.5400423785</v>
      </c>
    </row>
    <row r="72" spans="2:33" x14ac:dyDescent="0.25">
      <c r="B72" s="36" t="s">
        <v>117</v>
      </c>
      <c r="C72" s="143"/>
      <c r="D72" s="140">
        <f>D71/$C$80</f>
        <v>0</v>
      </c>
      <c r="E72" s="140">
        <f>E71/$C$80</f>
        <v>8.7579737492015225E-2</v>
      </c>
      <c r="F72" s="140">
        <f t="shared" ref="F72:AG72" si="87">F71/$C$80</f>
        <v>8.8399453888233309E-2</v>
      </c>
      <c r="G72" s="140">
        <f t="shared" si="87"/>
        <v>8.8497364200224082E-2</v>
      </c>
      <c r="H72" s="140">
        <f t="shared" si="87"/>
        <v>8.9328903125298953E-2</v>
      </c>
      <c r="I72" s="140">
        <f t="shared" si="87"/>
        <v>9.0168769575928578E-2</v>
      </c>
      <c r="J72" s="140">
        <f t="shared" si="87"/>
        <v>9.1017046885860015E-2</v>
      </c>
      <c r="K72" s="140">
        <f t="shared" si="87"/>
        <v>9.1873819222465861E-2</v>
      </c>
      <c r="L72" s="140">
        <f t="shared" si="87"/>
        <v>9.2739171595081937E-2</v>
      </c>
      <c r="M72" s="140">
        <f t="shared" si="87"/>
        <v>9.3613189863428425E-2</v>
      </c>
      <c r="N72" s="140">
        <f t="shared" si="87"/>
        <v>9.4495960746115076E-2</v>
      </c>
      <c r="O72" s="140">
        <f t="shared" si="87"/>
        <v>9.5387571829231563E-2</v>
      </c>
      <c r="P72" s="140">
        <f t="shared" si="87"/>
        <v>9.6288111575023733E-2</v>
      </c>
      <c r="Q72" s="140">
        <f t="shared" si="87"/>
        <v>9.7197669330656794E-2</v>
      </c>
      <c r="R72" s="140">
        <f t="shared" si="87"/>
        <v>9.811633533706568E-2</v>
      </c>
      <c r="S72" s="140">
        <f t="shared" si="87"/>
        <v>9.9044200737894605E-2</v>
      </c>
      <c r="T72" s="140">
        <f t="shared" si="87"/>
        <v>9.9981357588525249E-2</v>
      </c>
      <c r="U72" s="140">
        <f t="shared" si="87"/>
        <v>0.10092789886519604</v>
      </c>
      <c r="V72" s="140">
        <f t="shared" si="87"/>
        <v>0.10188391847421176</v>
      </c>
      <c r="W72" s="140">
        <f t="shared" si="87"/>
        <v>0.10284951126124613</v>
      </c>
      <c r="X72" s="140">
        <f t="shared" si="87"/>
        <v>0.10382477302073694</v>
      </c>
      <c r="Y72" s="140">
        <f t="shared" si="87"/>
        <v>0.10480980050537497</v>
      </c>
      <c r="Z72" s="140">
        <f t="shared" si="87"/>
        <v>0.10580469143568834</v>
      </c>
      <c r="AA72" s="140">
        <f t="shared" si="87"/>
        <v>0.10680954450972223</v>
      </c>
      <c r="AB72" s="140">
        <f t="shared" si="87"/>
        <v>0.10782445941281583</v>
      </c>
      <c r="AC72" s="140">
        <f t="shared" si="87"/>
        <v>0.10884953682747646</v>
      </c>
      <c r="AD72" s="140">
        <f t="shared" si="87"/>
        <v>0.10988487844335322</v>
      </c>
      <c r="AE72" s="140">
        <f t="shared" si="87"/>
        <v>0.11093058696730981</v>
      </c>
      <c r="AF72" s="140">
        <f t="shared" si="87"/>
        <v>0.11198676613359816</v>
      </c>
      <c r="AG72" s="140">
        <f t="shared" si="87"/>
        <v>0.11305352071413409</v>
      </c>
    </row>
    <row r="73" spans="2:33" x14ac:dyDescent="0.25">
      <c r="B73" s="36" t="s">
        <v>73</v>
      </c>
      <c r="C73" s="143"/>
      <c r="D73" s="20"/>
      <c r="E73" s="140">
        <f>E71/E57</f>
        <v>0.80131132452711584</v>
      </c>
      <c r="F73" s="140">
        <f t="shared" ref="F73:AG73" si="88">F71/F57</f>
        <v>0.80080329161100583</v>
      </c>
      <c r="G73" s="140">
        <f t="shared" si="88"/>
        <v>0.80074328183709864</v>
      </c>
      <c r="H73" s="140">
        <f t="shared" si="88"/>
        <v>0.80023928508378239</v>
      </c>
      <c r="I73" s="140">
        <f t="shared" si="88"/>
        <v>0.79974030264674212</v>
      </c>
      <c r="J73" s="140">
        <f t="shared" si="88"/>
        <v>0.79924628450683244</v>
      </c>
      <c r="K73" s="140">
        <f t="shared" si="88"/>
        <v>0.79875718114590666</v>
      </c>
      <c r="L73" s="140">
        <f t="shared" si="88"/>
        <v>0.79827294354176659</v>
      </c>
      <c r="M73" s="140">
        <f t="shared" si="88"/>
        <v>0.79779352316316376</v>
      </c>
      <c r="N73" s="140">
        <f t="shared" si="88"/>
        <v>0.79731887196485174</v>
      </c>
      <c r="O73" s="140">
        <f t="shared" si="88"/>
        <v>0.79684894238268822</v>
      </c>
      <c r="P73" s="140">
        <f t="shared" si="88"/>
        <v>0.7963836873287875</v>
      </c>
      <c r="Q73" s="140">
        <f t="shared" si="88"/>
        <v>0.79592306018672287</v>
      </c>
      <c r="R73" s="140">
        <f t="shared" si="88"/>
        <v>0.79546701480677573</v>
      </c>
      <c r="S73" s="140">
        <f t="shared" si="88"/>
        <v>0.79501550550123545</v>
      </c>
      <c r="T73" s="140">
        <f t="shared" si="88"/>
        <v>0.79456848703974547</v>
      </c>
      <c r="U73" s="140">
        <f t="shared" si="88"/>
        <v>0.79412591464469706</v>
      </c>
      <c r="V73" s="140">
        <f t="shared" si="88"/>
        <v>0.79368774398667075</v>
      </c>
      <c r="W73" s="140">
        <f t="shared" si="88"/>
        <v>0.79325393117992238</v>
      </c>
      <c r="X73" s="140">
        <f t="shared" si="88"/>
        <v>0.79282443277791714</v>
      </c>
      <c r="Y73" s="140">
        <f t="shared" si="88"/>
        <v>0.79239920576890688</v>
      </c>
      <c r="Z73" s="140">
        <f t="shared" si="88"/>
        <v>0.7919782075715539</v>
      </c>
      <c r="AA73" s="140">
        <f t="shared" si="88"/>
        <v>0.79156139603059872</v>
      </c>
      <c r="AB73" s="140">
        <f t="shared" si="88"/>
        <v>0.79114872941257164</v>
      </c>
      <c r="AC73" s="140">
        <f t="shared" si="88"/>
        <v>0.79074016640154787</v>
      </c>
      <c r="AD73" s="140">
        <f t="shared" si="88"/>
        <v>0.79033566609494621</v>
      </c>
      <c r="AE73" s="140">
        <f t="shared" si="88"/>
        <v>0.78993518799937001</v>
      </c>
      <c r="AF73" s="140">
        <f t="shared" si="88"/>
        <v>0.7895386920264903</v>
      </c>
      <c r="AG73" s="140">
        <f t="shared" si="88"/>
        <v>0.78914613848897086</v>
      </c>
    </row>
    <row r="74" spans="2:33" x14ac:dyDescent="0.25">
      <c r="B74" s="39" t="s">
        <v>61</v>
      </c>
      <c r="C74" s="143"/>
      <c r="D74" s="112">
        <f>DATE(2023,1,1)</f>
        <v>44927</v>
      </c>
      <c r="E74" s="112">
        <f>DATE(YEAR(D74)+1,MONTH(D74),DAY(D74))</f>
        <v>45292</v>
      </c>
      <c r="F74" s="112">
        <f t="shared" ref="F74:AG74" si="89">DATE(YEAR(E74)+1,MONTH(E74),DAY(E74))</f>
        <v>45658</v>
      </c>
      <c r="G74" s="112">
        <f t="shared" si="89"/>
        <v>46023</v>
      </c>
      <c r="H74" s="112">
        <f t="shared" si="89"/>
        <v>46388</v>
      </c>
      <c r="I74" s="112">
        <f t="shared" si="89"/>
        <v>46753</v>
      </c>
      <c r="J74" s="112">
        <f t="shared" si="89"/>
        <v>47119</v>
      </c>
      <c r="K74" s="112">
        <f t="shared" si="89"/>
        <v>47484</v>
      </c>
      <c r="L74" s="112">
        <f t="shared" si="89"/>
        <v>47849</v>
      </c>
      <c r="M74" s="112">
        <f>DATE(YEAR(L74)+1,MONTH(L74),DAY(L74))</f>
        <v>48214</v>
      </c>
      <c r="N74" s="112">
        <f t="shared" si="89"/>
        <v>48580</v>
      </c>
      <c r="O74" s="112">
        <f t="shared" si="89"/>
        <v>48945</v>
      </c>
      <c r="P74" s="112">
        <f t="shared" si="89"/>
        <v>49310</v>
      </c>
      <c r="Q74" s="112">
        <f t="shared" si="89"/>
        <v>49675</v>
      </c>
      <c r="R74" s="112">
        <f t="shared" si="89"/>
        <v>50041</v>
      </c>
      <c r="S74" s="112">
        <f t="shared" si="89"/>
        <v>50406</v>
      </c>
      <c r="T74" s="112">
        <f>DATE(YEAR(S74)+1,MONTH(S74),DAY(S74))</f>
        <v>50771</v>
      </c>
      <c r="U74" s="112">
        <f t="shared" si="89"/>
        <v>51136</v>
      </c>
      <c r="V74" s="112">
        <f t="shared" si="89"/>
        <v>51502</v>
      </c>
      <c r="W74" s="112">
        <f t="shared" si="89"/>
        <v>51867</v>
      </c>
      <c r="X74" s="112">
        <f t="shared" si="89"/>
        <v>52232</v>
      </c>
      <c r="Y74" s="112">
        <f t="shared" si="89"/>
        <v>52597</v>
      </c>
      <c r="Z74" s="112">
        <f t="shared" si="89"/>
        <v>52963</v>
      </c>
      <c r="AA74" s="112">
        <f>DATE(YEAR(Z74)+1,MONTH(Z74),DAY(Z74))</f>
        <v>53328</v>
      </c>
      <c r="AB74" s="112">
        <f t="shared" si="89"/>
        <v>53693</v>
      </c>
      <c r="AC74" s="112">
        <f t="shared" si="89"/>
        <v>54058</v>
      </c>
      <c r="AD74" s="112">
        <f t="shared" si="89"/>
        <v>54424</v>
      </c>
      <c r="AE74" s="112">
        <f t="shared" si="89"/>
        <v>54789</v>
      </c>
      <c r="AF74" s="112">
        <f t="shared" si="89"/>
        <v>55154</v>
      </c>
      <c r="AG74" s="112">
        <f t="shared" si="89"/>
        <v>55519</v>
      </c>
    </row>
    <row r="75" spans="2:33" x14ac:dyDescent="0.25">
      <c r="B75" s="39" t="s">
        <v>60</v>
      </c>
      <c r="C75" s="143"/>
      <c r="D75" s="20">
        <v>0</v>
      </c>
      <c r="E75" s="20">
        <f>D75+1</f>
        <v>1</v>
      </c>
      <c r="F75" s="20">
        <f>E75+1</f>
        <v>2</v>
      </c>
      <c r="G75" s="20">
        <f t="shared" ref="G75:AG75" si="90">F75+1</f>
        <v>3</v>
      </c>
      <c r="H75" s="20">
        <f t="shared" si="90"/>
        <v>4</v>
      </c>
      <c r="I75" s="20">
        <f t="shared" si="90"/>
        <v>5</v>
      </c>
      <c r="J75" s="20">
        <f t="shared" si="90"/>
        <v>6</v>
      </c>
      <c r="K75" s="20">
        <f t="shared" si="90"/>
        <v>7</v>
      </c>
      <c r="L75" s="20">
        <f t="shared" si="90"/>
        <v>8</v>
      </c>
      <c r="M75" s="20">
        <f t="shared" si="90"/>
        <v>9</v>
      </c>
      <c r="N75" s="20">
        <f t="shared" si="90"/>
        <v>10</v>
      </c>
      <c r="O75" s="20">
        <f t="shared" si="90"/>
        <v>11</v>
      </c>
      <c r="P75" s="20">
        <f t="shared" si="90"/>
        <v>12</v>
      </c>
      <c r="Q75" s="20">
        <f t="shared" si="90"/>
        <v>13</v>
      </c>
      <c r="R75" s="20">
        <f t="shared" si="90"/>
        <v>14</v>
      </c>
      <c r="S75" s="20">
        <f t="shared" si="90"/>
        <v>15</v>
      </c>
      <c r="T75" s="20">
        <f t="shared" si="90"/>
        <v>16</v>
      </c>
      <c r="U75" s="20">
        <f t="shared" si="90"/>
        <v>17</v>
      </c>
      <c r="V75" s="20">
        <f t="shared" si="90"/>
        <v>18</v>
      </c>
      <c r="W75" s="20">
        <f t="shared" si="90"/>
        <v>19</v>
      </c>
      <c r="X75" s="20">
        <f t="shared" si="90"/>
        <v>20</v>
      </c>
      <c r="Y75" s="20">
        <f t="shared" si="90"/>
        <v>21</v>
      </c>
      <c r="Z75" s="20">
        <f t="shared" si="90"/>
        <v>22</v>
      </c>
      <c r="AA75" s="20">
        <f t="shared" si="90"/>
        <v>23</v>
      </c>
      <c r="AB75" s="20">
        <f t="shared" si="90"/>
        <v>24</v>
      </c>
      <c r="AC75" s="20">
        <f t="shared" si="90"/>
        <v>25</v>
      </c>
      <c r="AD75" s="20">
        <f t="shared" si="90"/>
        <v>26</v>
      </c>
      <c r="AE75" s="20">
        <f t="shared" si="90"/>
        <v>27</v>
      </c>
      <c r="AF75" s="20">
        <f t="shared" si="90"/>
        <v>28</v>
      </c>
      <c r="AG75" s="20">
        <f t="shared" si="90"/>
        <v>29</v>
      </c>
    </row>
    <row r="76" spans="2:33" x14ac:dyDescent="0.25">
      <c r="B76" s="39"/>
      <c r="C76" s="143"/>
      <c r="D76" s="141">
        <f>D71-D24</f>
        <v>-20710000</v>
      </c>
      <c r="E76" s="141">
        <f t="shared" ref="E76:F76" si="91">E71-E24</f>
        <v>-2980678.9764</v>
      </c>
      <c r="F76" s="141">
        <f t="shared" si="91"/>
        <v>-23729.516164000146</v>
      </c>
      <c r="G76" s="142">
        <f>G71</f>
        <v>2909489.43867436</v>
      </c>
      <c r="H76" s="142">
        <f t="shared" ref="H76:AG76" si="92">H71</f>
        <v>2936827.5830611037</v>
      </c>
      <c r="I76" s="142">
        <f t="shared" si="92"/>
        <v>2964439.507891715</v>
      </c>
      <c r="J76" s="142">
        <f t="shared" si="92"/>
        <v>2992327.9528936325</v>
      </c>
      <c r="K76" s="142">
        <f t="shared" si="92"/>
        <v>3020495.68520104</v>
      </c>
      <c r="L76" s="142">
        <f t="shared" si="92"/>
        <v>3048945.4996289811</v>
      </c>
      <c r="M76" s="142">
        <f t="shared" si="92"/>
        <v>3077680.2189502162</v>
      </c>
      <c r="N76" s="142">
        <f t="shared" si="92"/>
        <v>3106702.6941748462</v>
      </c>
      <c r="O76" s="142">
        <f t="shared" si="92"/>
        <v>3136015.8048327323</v>
      </c>
      <c r="P76" s="142">
        <f t="shared" si="92"/>
        <v>3165622.4592587426</v>
      </c>
      <c r="Q76" s="142">
        <f t="shared" si="92"/>
        <v>3195525.5948808547</v>
      </c>
      <c r="R76" s="142">
        <f t="shared" si="92"/>
        <v>3225728.1785111255</v>
      </c>
      <c r="S76" s="142">
        <f t="shared" si="92"/>
        <v>3256233.2066395935</v>
      </c>
      <c r="T76" s="142">
        <f t="shared" si="92"/>
        <v>3287043.7057310939</v>
      </c>
      <c r="U76" s="142">
        <f t="shared" si="92"/>
        <v>3318162.7325250697</v>
      </c>
      <c r="V76" s="142">
        <f t="shared" si="92"/>
        <v>3349593.3743383517</v>
      </c>
      <c r="W76" s="142">
        <f t="shared" si="92"/>
        <v>3381338.7493709964</v>
      </c>
      <c r="X76" s="142">
        <f t="shared" si="92"/>
        <v>3413402.0070151635</v>
      </c>
      <c r="Y76" s="142">
        <f t="shared" si="92"/>
        <v>3445786.3281670818</v>
      </c>
      <c r="Z76" s="142">
        <f t="shared" si="92"/>
        <v>3478494.9255421474</v>
      </c>
      <c r="AA76" s="142">
        <f t="shared" si="92"/>
        <v>3511531.0439931606</v>
      </c>
      <c r="AB76" s="142">
        <f t="shared" si="92"/>
        <v>3544897.960831759</v>
      </c>
      <c r="AC76" s="142">
        <f t="shared" si="92"/>
        <v>3578598.9861530438</v>
      </c>
      <c r="AD76" s="142">
        <f t="shared" si="92"/>
        <v>3612637.4631634797</v>
      </c>
      <c r="AE76" s="142">
        <f t="shared" si="92"/>
        <v>3647016.7685120534</v>
      </c>
      <c r="AF76" s="142">
        <f t="shared" si="92"/>
        <v>3681740.3126247497</v>
      </c>
      <c r="AG76" s="142">
        <f t="shared" si="92"/>
        <v>3716811.5400423785</v>
      </c>
    </row>
    <row r="77" spans="2:33" x14ac:dyDescent="0.25">
      <c r="B77" s="36" t="s">
        <v>112</v>
      </c>
      <c r="C77" s="143">
        <f>XIRR(D76:X76,D74:X74)</f>
        <v>8.6430421471595756E-2</v>
      </c>
      <c r="D77" s="20"/>
      <c r="E77" s="33"/>
      <c r="F77" s="20"/>
      <c r="G77" s="49"/>
      <c r="H77" s="50"/>
      <c r="I77" s="22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</row>
    <row r="78" spans="2:33" x14ac:dyDescent="0.25">
      <c r="B78" s="36" t="s">
        <v>113</v>
      </c>
      <c r="C78" s="143">
        <f>SUM(D71:X71)/SUM(D24:X24)</f>
        <v>2.0781906671148027</v>
      </c>
      <c r="D78" s="20"/>
      <c r="E78" s="33"/>
      <c r="F78" s="20"/>
      <c r="G78" s="49"/>
      <c r="H78" s="50"/>
      <c r="I78" s="22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</row>
    <row r="79" spans="2:33" x14ac:dyDescent="0.25">
      <c r="B79" s="39" t="s">
        <v>58</v>
      </c>
      <c r="C79" s="143"/>
      <c r="D79" s="141">
        <f>D57</f>
        <v>0</v>
      </c>
      <c r="E79" s="141">
        <f t="shared" ref="E79:G79" si="93">E57</f>
        <v>3593261.3648000001</v>
      </c>
      <c r="F79" s="141">
        <f t="shared" si="93"/>
        <v>3629193.9784479998</v>
      </c>
      <c r="G79" s="141">
        <f t="shared" si="93"/>
        <v>3633485.9182324801</v>
      </c>
      <c r="H79" s="141">
        <f>H57</f>
        <v>3669936.7774148048</v>
      </c>
      <c r="I79" s="141">
        <f t="shared" ref="I79:AG79" si="94">I57</f>
        <v>3706752.6771889534</v>
      </c>
      <c r="J79" s="141">
        <f t="shared" si="94"/>
        <v>3743937.2705248431</v>
      </c>
      <c r="K79" s="141">
        <f t="shared" si="94"/>
        <v>3781494.2469347198</v>
      </c>
      <c r="L79" s="141">
        <f t="shared" si="94"/>
        <v>3819427.3328386415</v>
      </c>
      <c r="M79" s="141">
        <f t="shared" si="94"/>
        <v>3857740.2919336217</v>
      </c>
      <c r="N79" s="141">
        <f t="shared" si="94"/>
        <v>3896436.9255664614</v>
      </c>
      <c r="O79" s="141">
        <f t="shared" si="94"/>
        <v>3935521.0731103094</v>
      </c>
      <c r="P79" s="141">
        <f t="shared" si="94"/>
        <v>3974996.6123449905</v>
      </c>
      <c r="Q79" s="141">
        <f t="shared" si="94"/>
        <v>4014867.4598411396</v>
      </c>
      <c r="R79" s="141">
        <f t="shared" si="94"/>
        <v>4055137.5713481675</v>
      </c>
      <c r="S79" s="141">
        <f t="shared" si="94"/>
        <v>4095810.9421861246</v>
      </c>
      <c r="T79" s="141">
        <f t="shared" si="94"/>
        <v>4136891.6076414585</v>
      </c>
      <c r="U79" s="141">
        <f t="shared" si="94"/>
        <v>4178383.6433667596</v>
      </c>
      <c r="V79" s="141">
        <f t="shared" si="94"/>
        <v>4220291.1657844689</v>
      </c>
      <c r="W79" s="141">
        <f t="shared" si="94"/>
        <v>4262618.3324946621</v>
      </c>
      <c r="X79" s="141">
        <f t="shared" si="94"/>
        <v>4305369.342686885</v>
      </c>
      <c r="Y79" s="141">
        <f t="shared" si="94"/>
        <v>4348548.4375561094</v>
      </c>
      <c r="Z79" s="141">
        <f t="shared" si="94"/>
        <v>4392159.9007228632</v>
      </c>
      <c r="AA79" s="141">
        <f t="shared" si="94"/>
        <v>4436208.0586575475</v>
      </c>
      <c r="AB79" s="141">
        <f t="shared" si="94"/>
        <v>4480697.2811090117</v>
      </c>
      <c r="AC79" s="141">
        <f t="shared" si="94"/>
        <v>4525631.9815373914</v>
      </c>
      <c r="AD79" s="141">
        <f t="shared" si="94"/>
        <v>4571016.6175513063</v>
      </c>
      <c r="AE79" s="141">
        <f t="shared" si="94"/>
        <v>4616855.6913494049</v>
      </c>
      <c r="AF79" s="141">
        <f t="shared" si="94"/>
        <v>4663153.7501663333</v>
      </c>
      <c r="AG79" s="141">
        <f t="shared" si="94"/>
        <v>4709915.386723171</v>
      </c>
    </row>
    <row r="80" spans="2:33" x14ac:dyDescent="0.25">
      <c r="B80" s="36" t="s">
        <v>116</v>
      </c>
      <c r="C80" s="145">
        <f>SUM(D80:X80)</f>
        <v>32876566.042031262</v>
      </c>
      <c r="D80" s="144">
        <f>D79/(1+$C$84)^D75</f>
        <v>0</v>
      </c>
      <c r="E80" s="144">
        <f>E79/(1+$C$84)^E75</f>
        <v>3271965.4794050534</v>
      </c>
      <c r="F80" s="144">
        <f t="shared" ref="F80:H80" si="95">F79/(1+$C$84)^F75</f>
        <v>3009192.6474723229</v>
      </c>
      <c r="G80" s="144">
        <f t="shared" si="95"/>
        <v>2743362.4947383837</v>
      </c>
      <c r="H80" s="144">
        <f t="shared" si="95"/>
        <v>2523121.7272570217</v>
      </c>
      <c r="I80" s="144">
        <f t="shared" ref="I80" si="96">I79/(1+$C$84)^I75</f>
        <v>2320561.7842523269</v>
      </c>
      <c r="J80" s="144">
        <f t="shared" ref="J80:K80" si="97">J79/(1+$C$84)^J75</f>
        <v>2134263.291304226</v>
      </c>
      <c r="K80" s="144">
        <f t="shared" si="97"/>
        <v>1962920.8150977376</v>
      </c>
      <c r="L80" s="144">
        <f t="shared" ref="L80" si="98">L79/(1+$C$84)^L75</f>
        <v>1805333.7169815332</v>
      </c>
      <c r="M80" s="144">
        <f t="shared" ref="M80:N80" si="99">M79/(1+$C$84)^M75</f>
        <v>1660397.7407214721</v>
      </c>
      <c r="N80" s="144">
        <f t="shared" si="99"/>
        <v>1527097.275516259</v>
      </c>
      <c r="O80" s="144">
        <f t="shared" ref="O80" si="100">O79/(1+$C$84)^O75</f>
        <v>1404498.2400727046</v>
      </c>
      <c r="P80" s="144">
        <f t="shared" ref="P80:Q80" si="101">P79/(1+$C$84)^P75</f>
        <v>1291741.5378886843</v>
      </c>
      <c r="Q80" s="144">
        <f t="shared" si="101"/>
        <v>1188037.0378933419</v>
      </c>
      <c r="R80" s="144">
        <f t="shared" ref="R80" si="102">R79/(1+$C$84)^R75</f>
        <v>1092658.0382743389</v>
      </c>
      <c r="S80" s="144">
        <f t="shared" ref="S80:T80" si="103">S79/(1+$C$84)^S75</f>
        <v>1004936.1747068466</v>
      </c>
      <c r="T80" s="144">
        <f t="shared" si="103"/>
        <v>924256.73731213354</v>
      </c>
      <c r="U80" s="144">
        <f t="shared" ref="U80" si="104">U79/(1+$C$84)^U75</f>
        <v>850054.36353695591</v>
      </c>
      <c r="V80" s="144">
        <f t="shared" ref="V80:W80" si="105">V79/(1+$C$84)^V75</f>
        <v>781809.07677840232</v>
      </c>
      <c r="W80" s="144">
        <f t="shared" si="105"/>
        <v>719042.64300099469</v>
      </c>
      <c r="X80" s="144">
        <f t="shared" ref="X80" si="106">X79/(1+$C$84)^X75</f>
        <v>661315.21982051677</v>
      </c>
      <c r="Y80" s="144">
        <f t="shared" ref="Y80" si="107">Y79/(1+$C$84)^Y75</f>
        <v>608222.27457795083</v>
      </c>
      <c r="Z80" s="144">
        <f t="shared" ref="Z80" si="108">Z79/(1+$C$84)^Z75</f>
        <v>559391.74981133733</v>
      </c>
      <c r="AA80" s="144">
        <f t="shared" ref="AA80" si="109">AA79/(1+$C$84)^AA75</f>
        <v>514481.45626654779</v>
      </c>
      <c r="AB80" s="144">
        <f t="shared" ref="AB80" si="110">AB79/(1+$C$84)^AB75</f>
        <v>473176.67518202995</v>
      </c>
      <c r="AC80" s="144">
        <f t="shared" ref="AC80" si="111">AC79/(1+$C$84)^AC75</f>
        <v>435187.95304869325</v>
      </c>
      <c r="AD80" s="144">
        <f t="shared" ref="AD80" si="112">AD79/(1+$C$84)^AD75</f>
        <v>400249.07339454826</v>
      </c>
      <c r="AE80" s="144">
        <f t="shared" ref="AE80" si="113">AE79/(1+$C$84)^AE75</f>
        <v>368115.19138389692</v>
      </c>
      <c r="AF80" s="144">
        <f t="shared" ref="AF80" si="114">AF79/(1+$C$84)^AF75</f>
        <v>338561.11816153646</v>
      </c>
      <c r="AG80" s="144">
        <f t="shared" ref="AG80" si="115">AG79/(1+$C$84)^AG75</f>
        <v>311379.7429215287</v>
      </c>
    </row>
    <row r="81" spans="2:33" x14ac:dyDescent="0.25">
      <c r="B81" s="40" t="s">
        <v>59</v>
      </c>
      <c r="C81" s="143"/>
      <c r="D81" s="146">
        <f>D71</f>
        <v>0</v>
      </c>
      <c r="E81" s="146">
        <f t="shared" ref="E81:AG81" si="116">E71</f>
        <v>2879321.0236</v>
      </c>
      <c r="F81" s="146">
        <f t="shared" si="116"/>
        <v>2906270.4838359999</v>
      </c>
      <c r="G81" s="146">
        <f t="shared" si="116"/>
        <v>2909489.43867436</v>
      </c>
      <c r="H81" s="146">
        <f t="shared" si="116"/>
        <v>2936827.5830611037</v>
      </c>
      <c r="I81" s="146">
        <f t="shared" si="116"/>
        <v>2964439.507891715</v>
      </c>
      <c r="J81" s="146">
        <f t="shared" si="116"/>
        <v>2992327.9528936325</v>
      </c>
      <c r="K81" s="146">
        <f t="shared" si="116"/>
        <v>3020495.68520104</v>
      </c>
      <c r="L81" s="146">
        <f t="shared" si="116"/>
        <v>3048945.4996289811</v>
      </c>
      <c r="M81" s="146">
        <f t="shared" si="116"/>
        <v>3077680.2189502162</v>
      </c>
      <c r="N81" s="146">
        <f t="shared" si="116"/>
        <v>3106702.6941748462</v>
      </c>
      <c r="O81" s="146">
        <f t="shared" si="116"/>
        <v>3136015.8048327323</v>
      </c>
      <c r="P81" s="146">
        <f t="shared" si="116"/>
        <v>3165622.4592587426</v>
      </c>
      <c r="Q81" s="146">
        <f t="shared" si="116"/>
        <v>3195525.5948808547</v>
      </c>
      <c r="R81" s="146">
        <f t="shared" si="116"/>
        <v>3225728.1785111255</v>
      </c>
      <c r="S81" s="146">
        <f t="shared" si="116"/>
        <v>3256233.2066395935</v>
      </c>
      <c r="T81" s="146">
        <f t="shared" si="116"/>
        <v>3287043.7057310939</v>
      </c>
      <c r="U81" s="146">
        <f t="shared" si="116"/>
        <v>3318162.7325250697</v>
      </c>
      <c r="V81" s="146">
        <f t="shared" si="116"/>
        <v>3349593.3743383517</v>
      </c>
      <c r="W81" s="146">
        <f t="shared" si="116"/>
        <v>3381338.7493709964</v>
      </c>
      <c r="X81" s="146">
        <f t="shared" si="116"/>
        <v>3413402.0070151635</v>
      </c>
      <c r="Y81" s="146">
        <f t="shared" si="116"/>
        <v>3445786.3281670818</v>
      </c>
      <c r="Z81" s="146">
        <f t="shared" si="116"/>
        <v>3478494.9255421474</v>
      </c>
      <c r="AA81" s="146">
        <f t="shared" si="116"/>
        <v>3511531.0439931606</v>
      </c>
      <c r="AB81" s="146">
        <f t="shared" si="116"/>
        <v>3544897.960831759</v>
      </c>
      <c r="AC81" s="146">
        <f t="shared" si="116"/>
        <v>3578598.9861530438</v>
      </c>
      <c r="AD81" s="146">
        <f t="shared" si="116"/>
        <v>3612637.4631634797</v>
      </c>
      <c r="AE81" s="146">
        <f t="shared" si="116"/>
        <v>3647016.7685120534</v>
      </c>
      <c r="AF81" s="146">
        <f t="shared" si="116"/>
        <v>3681740.3126247497</v>
      </c>
      <c r="AG81" s="146">
        <f t="shared" si="116"/>
        <v>3716811.5400423785</v>
      </c>
    </row>
    <row r="82" spans="2:33" x14ac:dyDescent="0.25">
      <c r="B82" s="36" t="s">
        <v>115</v>
      </c>
      <c r="C82" s="145">
        <f>SUM(D82:X82)</f>
        <v>26246629.766977448</v>
      </c>
      <c r="D82" s="144">
        <f>D81/(1+$C$84)^D75</f>
        <v>0</v>
      </c>
      <c r="E82" s="144">
        <f t="shared" ref="E82:AG82" si="117">E81/(1+$C$84)^E75</f>
        <v>2621862.9921090631</v>
      </c>
      <c r="F82" s="144">
        <f t="shared" si="117"/>
        <v>2409771.3771874732</v>
      </c>
      <c r="G82" s="144">
        <f t="shared" si="117"/>
        <v>2196729.0873056236</v>
      </c>
      <c r="H82" s="144">
        <f t="shared" si="117"/>
        <v>2019101.1271995171</v>
      </c>
      <c r="I82" s="144">
        <f t="shared" si="117"/>
        <v>1855846.7836484197</v>
      </c>
      <c r="J82" s="144">
        <f t="shared" si="117"/>
        <v>1705802.0057342262</v>
      </c>
      <c r="K82" s="144">
        <f t="shared" si="117"/>
        <v>1567897.0970800945</v>
      </c>
      <c r="L82" s="144">
        <f t="shared" si="117"/>
        <v>1441149.0603300473</v>
      </c>
      <c r="M82" s="144">
        <f t="shared" si="117"/>
        <v>1324654.5634223407</v>
      </c>
      <c r="N82" s="144">
        <f t="shared" si="117"/>
        <v>1217583.4770952221</v>
      </c>
      <c r="O82" s="144">
        <f t="shared" si="117"/>
        <v>1119172.9371802816</v>
      </c>
      <c r="P82" s="144">
        <f t="shared" si="117"/>
        <v>1028721.8890195491</v>
      </c>
      <c r="Q82" s="144">
        <f t="shared" si="117"/>
        <v>945586.07481523824</v>
      </c>
      <c r="R82" s="144">
        <f t="shared" si="117"/>
        <v>869173.42791071616</v>
      </c>
      <c r="S82" s="144">
        <f t="shared" si="117"/>
        <v>798939.84093104163</v>
      </c>
      <c r="T82" s="144">
        <f t="shared" si="117"/>
        <v>734385.2774023934</v>
      </c>
      <c r="U82" s="144">
        <f t="shared" si="117"/>
        <v>675050.19894150097</v>
      </c>
      <c r="V82" s="144">
        <f t="shared" si="117"/>
        <v>620512.282376552</v>
      </c>
      <c r="W82" s="144">
        <f t="shared" si="117"/>
        <v>570383.40324654058</v>
      </c>
      <c r="X82" s="144">
        <f t="shared" si="117"/>
        <v>524306.8640416048</v>
      </c>
      <c r="Y82" s="144">
        <f t="shared" si="117"/>
        <v>481954.84730652621</v>
      </c>
      <c r="Z82" s="144">
        <f t="shared" si="117"/>
        <v>443026.07534589805</v>
      </c>
      <c r="AA82" s="144">
        <f t="shared" si="117"/>
        <v>407243.65975420404</v>
      </c>
      <c r="AB82" s="144">
        <f t="shared" si="117"/>
        <v>374353.1253579281</v>
      </c>
      <c r="AC82" s="144">
        <f t="shared" si="117"/>
        <v>344120.59440967272</v>
      </c>
      <c r="AD82" s="144">
        <f t="shared" si="117"/>
        <v>316331.11802516534</v>
      </c>
      <c r="AE82" s="144">
        <f t="shared" si="117"/>
        <v>290787.14291126269</v>
      </c>
      <c r="AF82" s="144">
        <f t="shared" si="117"/>
        <v>267307.10240428551</v>
      </c>
      <c r="AG82" s="144">
        <f t="shared" si="117"/>
        <v>245724.12173021285</v>
      </c>
    </row>
    <row r="83" spans="2:33" x14ac:dyDescent="0.25">
      <c r="B83" s="36"/>
    </row>
    <row r="84" spans="2:33" x14ac:dyDescent="0.25">
      <c r="B84" s="36" t="s">
        <v>114</v>
      </c>
      <c r="C84" s="119">
        <f>I93</f>
        <v>9.8196599999999995E-2</v>
      </c>
    </row>
    <row r="86" spans="2:33" x14ac:dyDescent="0.25">
      <c r="G86" s="73" t="s">
        <v>63</v>
      </c>
      <c r="H86" s="74"/>
      <c r="I86" s="74"/>
      <c r="J86" s="74"/>
      <c r="K86" s="74"/>
      <c r="L86" s="75"/>
    </row>
    <row r="87" spans="2:33" x14ac:dyDescent="0.25">
      <c r="G87" s="60" t="s">
        <v>65</v>
      </c>
      <c r="H87" s="58"/>
      <c r="I87" s="62">
        <v>0.03</v>
      </c>
      <c r="J87" s="57" t="s">
        <v>68</v>
      </c>
      <c r="K87" s="58"/>
      <c r="L87" s="59">
        <f>L88*L90</f>
        <v>0</v>
      </c>
      <c r="M87" s="71"/>
    </row>
    <row r="88" spans="2:33" x14ac:dyDescent="0.2">
      <c r="G88" s="76" t="s">
        <v>70</v>
      </c>
      <c r="H88" s="77"/>
      <c r="I88" s="78">
        <v>6.5699999999999995E-2</v>
      </c>
      <c r="J88" s="76" t="s">
        <v>71</v>
      </c>
      <c r="K88" s="77"/>
      <c r="L88" s="79">
        <v>0</v>
      </c>
    </row>
    <row r="89" spans="2:33" x14ac:dyDescent="0.2">
      <c r="G89" s="60" t="s">
        <v>66</v>
      </c>
      <c r="H89" s="58"/>
      <c r="I89" s="72">
        <v>1.038</v>
      </c>
      <c r="J89" s="60"/>
      <c r="K89" s="58"/>
      <c r="L89" s="61"/>
    </row>
    <row r="90" spans="2:33" x14ac:dyDescent="0.25">
      <c r="G90" s="80" t="s">
        <v>64</v>
      </c>
      <c r="H90" s="77"/>
      <c r="I90" s="78">
        <f>I87+I88*I89</f>
        <v>9.8196599999999995E-2</v>
      </c>
      <c r="J90" s="80" t="s">
        <v>67</v>
      </c>
      <c r="K90" s="77"/>
      <c r="L90" s="81">
        <v>2287613000</v>
      </c>
    </row>
    <row r="91" spans="2:33" x14ac:dyDescent="0.25">
      <c r="G91" s="57" t="s">
        <v>72</v>
      </c>
      <c r="H91" s="58"/>
      <c r="I91" s="69">
        <v>4.1300000000000003E-2</v>
      </c>
      <c r="J91" s="63"/>
      <c r="K91" s="58"/>
      <c r="L91" s="64"/>
    </row>
    <row r="92" spans="2:33" x14ac:dyDescent="0.2">
      <c r="G92" s="82" t="s">
        <v>69</v>
      </c>
      <c r="H92" s="77"/>
      <c r="I92" s="78">
        <v>0</v>
      </c>
      <c r="J92" s="82"/>
      <c r="K92" s="77"/>
      <c r="L92" s="83"/>
    </row>
    <row r="93" spans="2:33" x14ac:dyDescent="0.25">
      <c r="G93" s="65" t="s">
        <v>62</v>
      </c>
      <c r="H93" s="66"/>
      <c r="I93" s="67">
        <f>L90/(L87+L90)*I90+L87/(L87+L90)*I91*(1-C50)</f>
        <v>9.8196599999999995E-2</v>
      </c>
      <c r="J93" s="70"/>
      <c r="K93" s="66"/>
      <c r="L93" s="68"/>
    </row>
  </sheetData>
  <phoneticPr fontId="2" type="noConversion"/>
  <pageMargins left="0.7" right="0.7" top="0.75" bottom="0.75" header="0.3" footer="0.3"/>
  <pageSetup paperSize="9" orientation="portrait" horizontalDpi="360" verticalDpi="36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6B39D-2201-4D3A-B655-A85A431141E6}">
  <dimension ref="G7:L14"/>
  <sheetViews>
    <sheetView workbookViewId="0">
      <selection activeCell="G7" sqref="G7:L14"/>
    </sheetView>
  </sheetViews>
  <sheetFormatPr defaultRowHeight="13.8" x14ac:dyDescent="0.25"/>
  <cols>
    <col min="9" max="9" width="10.6640625" customWidth="1"/>
    <col min="12" max="12" width="13" customWidth="1"/>
  </cols>
  <sheetData>
    <row r="7" spans="7:12" x14ac:dyDescent="0.25">
      <c r="G7" s="73" t="s">
        <v>63</v>
      </c>
      <c r="H7" s="74"/>
      <c r="I7" s="74"/>
      <c r="J7" s="74"/>
      <c r="K7" s="74"/>
      <c r="L7" s="75"/>
    </row>
    <row r="8" spans="7:12" x14ac:dyDescent="0.25">
      <c r="G8" s="60" t="s">
        <v>65</v>
      </c>
      <c r="H8" s="58"/>
      <c r="I8" s="62">
        <v>3.3300000000000003E-2</v>
      </c>
      <c r="J8" s="57" t="s">
        <v>68</v>
      </c>
      <c r="K8" s="58"/>
      <c r="L8" s="59">
        <f>L9*L11</f>
        <v>228761300</v>
      </c>
    </row>
    <row r="9" spans="7:12" x14ac:dyDescent="0.2">
      <c r="G9" s="76" t="s">
        <v>70</v>
      </c>
      <c r="H9" s="77"/>
      <c r="I9" s="78">
        <v>6.5699999999999995E-2</v>
      </c>
      <c r="J9" s="76" t="s">
        <v>71</v>
      </c>
      <c r="K9" s="77"/>
      <c r="L9" s="79">
        <v>0.1</v>
      </c>
    </row>
    <row r="10" spans="7:12" x14ac:dyDescent="0.2">
      <c r="G10" s="60" t="s">
        <v>66</v>
      </c>
      <c r="H10" s="58"/>
      <c r="I10" s="72">
        <v>1.038</v>
      </c>
      <c r="J10" s="60"/>
      <c r="K10" s="58"/>
      <c r="L10" s="61"/>
    </row>
    <row r="11" spans="7:12" x14ac:dyDescent="0.25">
      <c r="G11" s="80" t="s">
        <v>64</v>
      </c>
      <c r="H11" s="77"/>
      <c r="I11" s="78">
        <f>I8+I9*I10</f>
        <v>0.10149659999999999</v>
      </c>
      <c r="J11" s="80" t="s">
        <v>67</v>
      </c>
      <c r="K11" s="77"/>
      <c r="L11" s="81">
        <v>2287613000</v>
      </c>
    </row>
    <row r="12" spans="7:12" x14ac:dyDescent="0.25">
      <c r="G12" s="57" t="s">
        <v>72</v>
      </c>
      <c r="H12" s="58"/>
      <c r="I12" s="69">
        <v>4.8590000000000001E-2</v>
      </c>
      <c r="J12" s="63"/>
      <c r="K12" s="58"/>
      <c r="L12" s="64"/>
    </row>
    <row r="13" spans="7:12" x14ac:dyDescent="0.2">
      <c r="G13" s="82" t="s">
        <v>69</v>
      </c>
      <c r="H13" s="77"/>
      <c r="I13" s="78">
        <v>4.6800000000000001E-2</v>
      </c>
      <c r="J13" s="82"/>
      <c r="K13" s="77"/>
      <c r="L13" s="83"/>
    </row>
    <row r="14" spans="7:12" x14ac:dyDescent="0.25">
      <c r="G14" s="65" t="s">
        <v>62</v>
      </c>
      <c r="H14" s="66"/>
      <c r="I14" s="67" t="e">
        <f>L11/(L8+L11)*I11+L8/(L8+L11)*I12*(1-#REF!)</f>
        <v>#REF!</v>
      </c>
      <c r="J14" s="70"/>
      <c r="K14" s="66"/>
      <c r="L14" s="68"/>
    </row>
  </sheetData>
  <phoneticPr fontId="2" type="noConversion"/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23271-0A97-424C-8841-2B1E8FBBC95D}">
  <dimension ref="E5:K14"/>
  <sheetViews>
    <sheetView showGridLines="0" workbookViewId="0">
      <selection activeCell="E5" sqref="E5:J14"/>
    </sheetView>
  </sheetViews>
  <sheetFormatPr defaultRowHeight="13.8" x14ac:dyDescent="0.25"/>
  <cols>
    <col min="5" max="5" width="26.21875" customWidth="1"/>
    <col min="7" max="10" width="15.44140625" bestFit="1" customWidth="1"/>
    <col min="11" max="11" width="6.5546875" bestFit="1" customWidth="1"/>
  </cols>
  <sheetData>
    <row r="5" spans="5:11" x14ac:dyDescent="0.25">
      <c r="E5" s="99" t="s">
        <v>60</v>
      </c>
      <c r="F5" s="88"/>
      <c r="G5" s="88">
        <v>2021</v>
      </c>
      <c r="H5" s="88">
        <v>2022</v>
      </c>
      <c r="I5" s="88">
        <v>2023</v>
      </c>
      <c r="J5" s="89">
        <v>2024</v>
      </c>
    </row>
    <row r="6" spans="5:11" x14ac:dyDescent="0.25">
      <c r="E6" s="102"/>
      <c r="F6" s="103"/>
      <c r="G6" s="103" t="s">
        <v>74</v>
      </c>
      <c r="H6" s="103" t="s">
        <v>28</v>
      </c>
      <c r="I6" s="103" t="s">
        <v>28</v>
      </c>
      <c r="J6" s="104" t="s">
        <v>28</v>
      </c>
    </row>
    <row r="7" spans="5:11" x14ac:dyDescent="0.25">
      <c r="E7" s="101"/>
      <c r="F7" s="87"/>
      <c r="G7" s="86"/>
      <c r="H7" s="84"/>
      <c r="I7" s="84"/>
      <c r="J7" s="52"/>
      <c r="K7" s="86"/>
    </row>
    <row r="8" spans="5:11" x14ac:dyDescent="0.25">
      <c r="E8" s="105" t="s">
        <v>75</v>
      </c>
      <c r="F8" s="106"/>
      <c r="G8" s="107">
        <v>159924160.99999979</v>
      </c>
      <c r="H8" s="107">
        <v>167641950.47999999</v>
      </c>
      <c r="I8" s="107">
        <v>170359013.8257302</v>
      </c>
      <c r="J8" s="108">
        <v>169433748.88214344</v>
      </c>
    </row>
    <row r="9" spans="5:11" x14ac:dyDescent="0.25">
      <c r="E9" s="111" t="s">
        <v>76</v>
      </c>
      <c r="F9" s="92">
        <v>0.04</v>
      </c>
      <c r="G9" s="93">
        <f>G8/$F$9</f>
        <v>3998104024.9999948</v>
      </c>
      <c r="H9" s="93">
        <f t="shared" ref="H9:J9" si="0">H8/$F$9</f>
        <v>4191048761.9999995</v>
      </c>
      <c r="I9" s="93">
        <f t="shared" si="0"/>
        <v>4258975345.6432552</v>
      </c>
      <c r="J9" s="94">
        <f t="shared" si="0"/>
        <v>4235843722.053586</v>
      </c>
    </row>
    <row r="10" spans="5:11" x14ac:dyDescent="0.25">
      <c r="E10" s="111"/>
      <c r="F10" s="92">
        <v>0.06</v>
      </c>
      <c r="G10" s="93">
        <f>G8/$F$10</f>
        <v>2665402683.3333302</v>
      </c>
      <c r="H10" s="93">
        <f t="shared" ref="H10:J10" si="1">H8/$F$10</f>
        <v>2794032508</v>
      </c>
      <c r="I10" s="93">
        <f t="shared" si="1"/>
        <v>2839316897.0955033</v>
      </c>
      <c r="J10" s="94">
        <f t="shared" si="1"/>
        <v>2823895814.7023907</v>
      </c>
    </row>
    <row r="11" spans="5:11" x14ac:dyDescent="0.25">
      <c r="E11" s="111"/>
      <c r="F11" s="95">
        <v>0.08</v>
      </c>
      <c r="G11" s="90">
        <f>G8/$F$11</f>
        <v>1999052012.4999974</v>
      </c>
      <c r="H11" s="90">
        <f t="shared" ref="H11:J11" si="2">H8/$F$11</f>
        <v>2095524380.9999998</v>
      </c>
      <c r="I11" s="90">
        <f t="shared" si="2"/>
        <v>2129487672.8216276</v>
      </c>
      <c r="J11" s="91">
        <f t="shared" si="2"/>
        <v>2117921861.026793</v>
      </c>
    </row>
    <row r="12" spans="5:11" x14ac:dyDescent="0.25">
      <c r="E12" s="111"/>
      <c r="F12" s="95">
        <v>0.1</v>
      </c>
      <c r="G12" s="90">
        <f>G8/$F$12</f>
        <v>1599241609.9999979</v>
      </c>
      <c r="H12" s="90">
        <f>H8/$F$12</f>
        <v>1676419504.7999997</v>
      </c>
      <c r="I12" s="90">
        <f>I8/$F$12</f>
        <v>1703590138.257302</v>
      </c>
      <c r="J12" s="91">
        <f>J8/$F$12</f>
        <v>1694337488.8214343</v>
      </c>
    </row>
    <row r="13" spans="5:11" x14ac:dyDescent="0.25">
      <c r="E13" s="100"/>
      <c r="F13" s="92">
        <v>0.15</v>
      </c>
      <c r="G13" s="93">
        <f>G8/$F$13</f>
        <v>1066161073.3333319</v>
      </c>
      <c r="H13" s="93">
        <f>H8/$F$13</f>
        <v>1117613003.2</v>
      </c>
      <c r="I13" s="93">
        <f>I8/$F$13</f>
        <v>1135726758.8382015</v>
      </c>
      <c r="J13" s="94">
        <f>J8/$F$13</f>
        <v>1129558325.8809564</v>
      </c>
    </row>
    <row r="14" spans="5:11" x14ac:dyDescent="0.25">
      <c r="E14" s="102"/>
      <c r="F14" s="96">
        <v>0.2</v>
      </c>
      <c r="G14" s="97">
        <f>G8/$F$14</f>
        <v>799620804.99999893</v>
      </c>
      <c r="H14" s="97">
        <f>H8/$F$14</f>
        <v>838209752.39999986</v>
      </c>
      <c r="I14" s="97">
        <f>I8/$F$14</f>
        <v>851795069.12865102</v>
      </c>
      <c r="J14" s="98">
        <f>J8/$F$14</f>
        <v>847168744.41071713</v>
      </c>
    </row>
  </sheetData>
  <mergeCells count="1">
    <mergeCell ref="E9:E12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Sheet3</vt:lpstr>
      <vt:lpstr>Sheet2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Cloud</dc:creator>
  <cp:lastModifiedBy>Cloud</cp:lastModifiedBy>
  <dcterms:created xsi:type="dcterms:W3CDTF">2021-08-04T02:54:56Z</dcterms:created>
  <dcterms:modified xsi:type="dcterms:W3CDTF">2021-09-15T22:29:56Z</dcterms:modified>
</cp:coreProperties>
</file>